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E:\FORMULA RATES SPP\Annual Update AEP West Trans\True Ups\2024 Annual Update\Transco_OKTCo_SWTCo\Filed Documents\"/>
    </mc:Choice>
  </mc:AlternateContent>
  <xr:revisionPtr revIDLastSave="0" documentId="13_ncr:1_{AC2E7286-4CDF-49FE-AE4B-50E0598E49CC}" xr6:coauthVersionLast="47" xr6:coauthVersionMax="47" xr10:uidLastSave="{00000000-0000-0000-0000-000000000000}"/>
  <bookViews>
    <workbookView xWindow="52680" yWindow="-120" windowWidth="24240" windowHeight="13020" tabRatio="834" activeTab="1" xr2:uid="{00000000-000D-0000-FFFF-FFFF00000000}"/>
  </bookViews>
  <sheets>
    <sheet name="OKT.Sch.11.Rates" sheetId="17" r:id="rId1"/>
    <sheet name="OKT.WS.F.BPU.ATRR.Projected" sheetId="1" r:id="rId2"/>
    <sheet name="OKT.WS.G.BPU.ATRR.True-up" sheetId="2" r:id="rId3"/>
    <sheet name="OKT.001" sheetId="3" r:id="rId4"/>
    <sheet name="OKT.002" sheetId="4" r:id="rId5"/>
    <sheet name="OKT.003" sheetId="18" r:id="rId6"/>
    <sheet name="OKT.004" sheetId="19" r:id="rId7"/>
    <sheet name="OKT.005" sheetId="20" r:id="rId8"/>
    <sheet name="OKT.006" sheetId="21" r:id="rId9"/>
    <sheet name="OKT.007" sheetId="22" r:id="rId10"/>
    <sheet name="OKT.008" sheetId="23" r:id="rId11"/>
    <sheet name="OKT.009" sheetId="25" r:id="rId12"/>
    <sheet name="OKT.010" sheetId="24" r:id="rId13"/>
    <sheet name="OKT.011" sheetId="26" r:id="rId14"/>
    <sheet name="OKT.012" sheetId="27" r:id="rId15"/>
    <sheet name="OKT.013" sheetId="28" r:id="rId16"/>
    <sheet name="OKT.014" sheetId="29" r:id="rId17"/>
    <sheet name="OKT.015" sheetId="31" r:id="rId18"/>
    <sheet name="OKT.016" sheetId="34" r:id="rId19"/>
    <sheet name="OKT.017" sheetId="35" r:id="rId20"/>
    <sheet name="OKT.018" sheetId="38" r:id="rId21"/>
    <sheet name="OKT.019" sheetId="37" r:id="rId22"/>
    <sheet name="OKT.020" sheetId="39" r:id="rId23"/>
    <sheet name="OKT.021" sheetId="40" r:id="rId24"/>
    <sheet name="OKT.022" sheetId="41" r:id="rId25"/>
    <sheet name="OKT.023" sheetId="42" r:id="rId26"/>
    <sheet name="OKT.xyz - blank" sheetId="13" r:id="rId27"/>
  </sheet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#REF!</definedName>
    <definedName name="APCO">#REF!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3">OKT.001!$A$1:$P$166</definedName>
    <definedName name="_xlnm.Print_Area" localSheetId="4">OKT.002!$A$1:$P$166</definedName>
    <definedName name="_xlnm.Print_Area" localSheetId="5">OKT.003!$A$1:$P$166</definedName>
    <definedName name="_xlnm.Print_Area" localSheetId="6">OKT.004!$A$1:$P$166</definedName>
    <definedName name="_xlnm.Print_Area" localSheetId="7">OKT.005!$A$1:$P$166</definedName>
    <definedName name="_xlnm.Print_Area" localSheetId="8">OKT.006!$A$1:$P$166</definedName>
    <definedName name="_xlnm.Print_Area" localSheetId="9">OKT.007!$A$1:$P$166</definedName>
    <definedName name="_xlnm.Print_Area" localSheetId="10">OKT.008!$A$1:$P$166</definedName>
    <definedName name="_xlnm.Print_Area" localSheetId="11">OKT.009!$A$1:$P$166</definedName>
    <definedName name="_xlnm.Print_Area" localSheetId="12">OKT.010!$A$1:$P$166</definedName>
    <definedName name="_xlnm.Print_Area" localSheetId="13">OKT.011!$A$1:$P$166</definedName>
    <definedName name="_xlnm.Print_Area" localSheetId="14">OKT.012!$A$1:$P$166</definedName>
    <definedName name="_xlnm.Print_Area" localSheetId="15">OKT.013!$A$1:$P$166</definedName>
    <definedName name="_xlnm.Print_Area" localSheetId="16">OKT.014!$A$1:$P$166</definedName>
    <definedName name="_xlnm.Print_Area" localSheetId="17">OKT.015!$A$1:$P$166</definedName>
    <definedName name="_xlnm.Print_Area" localSheetId="18">OKT.016!$A$1:$P$166</definedName>
    <definedName name="_xlnm.Print_Area" localSheetId="19">OKT.017!$A$1:$P$166</definedName>
    <definedName name="_xlnm.Print_Area" localSheetId="0">'OKT.Sch.11.Rates'!$A$1:$T$43</definedName>
    <definedName name="_xlnm.Print_Area" localSheetId="1">'OKT.WS.F.BPU.ATRR.Projected'!$A$1:$O$89</definedName>
    <definedName name="_xlnm.Print_Area" localSheetId="2">'OKT.WS.G.BPU.ATRR.True-up'!$A$1:$P$96</definedName>
    <definedName name="_xlnm.Print_Area" localSheetId="26">'OKT.xyz - blank'!$A$1:$P$166</definedName>
    <definedName name="_xlnm.Print_Titles" localSheetId="9">OKT.007!#REF!</definedName>
    <definedName name="_xlnm.Print_Titles" localSheetId="10">OKT.008!#REF!</definedName>
    <definedName name="_xlnm.Print_Titles" localSheetId="11">OKT.009!#REF!</definedName>
    <definedName name="_xlnm.Print_Titles" localSheetId="12">OKT.010!#REF!</definedName>
    <definedName name="_xlnm.Print_Titles" localSheetId="13">OKT.011!#REF!</definedName>
    <definedName name="_xlnm.Print_Titles" localSheetId="14">OKT.012!#REF!</definedName>
    <definedName name="_xlnm.Print_Titles" localSheetId="15">OKT.013!#REF!</definedName>
    <definedName name="_xlnm.Print_Titles" localSheetId="16">OKT.014!#REF!</definedName>
    <definedName name="_xlnm.Print_Titles" localSheetId="18">OKT.016!#REF!</definedName>
    <definedName name="_xlnm.Print_Titles" localSheetId="19">OKT.017!#REF!</definedName>
    <definedName name="_xlnm.Print_Titles" localSheetId="1">'OKT.WS.F.BPU.ATRR.Projected'!$1:$5</definedName>
    <definedName name="_xlnm.Print_Titles" localSheetId="2">'OKT.WS.G.BPU.ATRR.True-up'!$1:$5</definedName>
    <definedName name="_xlnm.Print_Titles" localSheetId="26">'OKT.xyz - blank'!#REF!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2" i="1"/>
  <c r="H3" i="17"/>
  <c r="I13" i="17"/>
  <c r="M16" i="2"/>
  <c r="J93" i="40" s="1"/>
  <c r="D93" i="37"/>
  <c r="D93" i="38"/>
  <c r="D93" i="28"/>
  <c r="D95" i="21"/>
  <c r="D94" i="21"/>
  <c r="J93" i="41" l="1"/>
  <c r="U41" i="17" l="1"/>
  <c r="D93" i="35" l="1"/>
  <c r="D93" i="34"/>
  <c r="D93" i="31"/>
  <c r="D93" i="29"/>
  <c r="D93" i="27"/>
  <c r="D93" i="26"/>
  <c r="D93" i="24"/>
  <c r="M18" i="41"/>
  <c r="K18" i="41"/>
  <c r="L18" i="41" s="1"/>
  <c r="M18" i="40"/>
  <c r="K18" i="40"/>
  <c r="L18" i="40" s="1"/>
  <c r="M20" i="39"/>
  <c r="K20" i="39"/>
  <c r="L20" i="39" s="1"/>
  <c r="M22" i="37"/>
  <c r="K22" i="37"/>
  <c r="L22" i="37" s="1"/>
  <c r="M22" i="38"/>
  <c r="K22" i="38"/>
  <c r="L22" i="38" s="1"/>
  <c r="M23" i="35"/>
  <c r="K23" i="35"/>
  <c r="L23" i="35" s="1"/>
  <c r="M23" i="34"/>
  <c r="K23" i="34"/>
  <c r="L23" i="34" s="1"/>
  <c r="M23" i="31"/>
  <c r="K23" i="31"/>
  <c r="L23" i="31" s="1"/>
  <c r="M24" i="29"/>
  <c r="K24" i="29"/>
  <c r="L24" i="29" s="1"/>
  <c r="M26" i="27"/>
  <c r="K26" i="27"/>
  <c r="L26" i="27" s="1"/>
  <c r="M26" i="26"/>
  <c r="K26" i="26"/>
  <c r="L26" i="26" s="1"/>
  <c r="M27" i="24"/>
  <c r="K27" i="24"/>
  <c r="L27" i="24" s="1"/>
  <c r="M25" i="25"/>
  <c r="K25" i="25"/>
  <c r="L25" i="25" s="1"/>
  <c r="M26" i="23"/>
  <c r="K26" i="23"/>
  <c r="L26" i="23" s="1"/>
  <c r="M26" i="22"/>
  <c r="K26" i="22"/>
  <c r="L26" i="22" s="1"/>
  <c r="M27" i="21"/>
  <c r="K27" i="21"/>
  <c r="L27" i="21" s="1"/>
  <c r="M29" i="19" l="1"/>
  <c r="K29" i="19"/>
  <c r="L29" i="19" s="1"/>
  <c r="M29" i="18"/>
  <c r="K29" i="18"/>
  <c r="L29" i="18" s="1"/>
  <c r="M30" i="4"/>
  <c r="K30" i="4"/>
  <c r="L30" i="4" s="1"/>
  <c r="M30" i="3"/>
  <c r="K30" i="3"/>
  <c r="L30" i="3" s="1"/>
  <c r="O101" i="40"/>
  <c r="M101" i="40"/>
  <c r="N102" i="39"/>
  <c r="O102" i="39" s="1"/>
  <c r="L102" i="39"/>
  <c r="M102" i="39" s="1"/>
  <c r="N104" i="37"/>
  <c r="O104" i="37" s="1"/>
  <c r="L104" i="37"/>
  <c r="M104" i="37" s="1"/>
  <c r="N104" i="38"/>
  <c r="O104" i="38" s="1"/>
  <c r="L104" i="38"/>
  <c r="M104" i="38" s="1"/>
  <c r="N105" i="35"/>
  <c r="O105" i="35" s="1"/>
  <c r="L105" i="35"/>
  <c r="M105" i="35" s="1"/>
  <c r="N105" i="34"/>
  <c r="O105" i="34" s="1"/>
  <c r="L105" i="34"/>
  <c r="M105" i="34" s="1"/>
  <c r="N105" i="31"/>
  <c r="O105" i="31" s="1"/>
  <c r="L105" i="31"/>
  <c r="M105" i="31" s="1"/>
  <c r="N106" i="29"/>
  <c r="O106" i="29" s="1"/>
  <c r="L106" i="29"/>
  <c r="M106" i="29" s="1"/>
  <c r="N108" i="27"/>
  <c r="O108" i="27" s="1"/>
  <c r="L108" i="27"/>
  <c r="M108" i="27" s="1"/>
  <c r="N108" i="26"/>
  <c r="O108" i="26" s="1"/>
  <c r="L108" i="26"/>
  <c r="M108" i="26" s="1"/>
  <c r="N109" i="24"/>
  <c r="O109" i="24" s="1"/>
  <c r="L109" i="24"/>
  <c r="M109" i="24" s="1"/>
  <c r="N107" i="25"/>
  <c r="O107" i="25" s="1"/>
  <c r="L107" i="25"/>
  <c r="M107" i="25" s="1"/>
  <c r="N108" i="23"/>
  <c r="O108" i="23" s="1"/>
  <c r="L108" i="23"/>
  <c r="M108" i="23" s="1"/>
  <c r="N108" i="22"/>
  <c r="O108" i="22" s="1"/>
  <c r="L108" i="22"/>
  <c r="M108" i="22" s="1"/>
  <c r="N109" i="21"/>
  <c r="O109" i="21" s="1"/>
  <c r="L109" i="21"/>
  <c r="M109" i="21" s="1"/>
  <c r="N111" i="19"/>
  <c r="O111" i="19" s="1"/>
  <c r="L111" i="19"/>
  <c r="M111" i="19" s="1"/>
  <c r="N111" i="18"/>
  <c r="O111" i="18" s="1"/>
  <c r="L111" i="18"/>
  <c r="M111" i="18" s="1"/>
  <c r="N112" i="4"/>
  <c r="O112" i="4" s="1"/>
  <c r="L112" i="4"/>
  <c r="M112" i="4" s="1"/>
  <c r="N112" i="3"/>
  <c r="O112" i="3" s="1"/>
  <c r="L112" i="3"/>
  <c r="M112" i="3" s="1"/>
  <c r="P109" i="21" l="1"/>
  <c r="P109" i="24"/>
  <c r="P107" i="25"/>
  <c r="P101" i="40"/>
  <c r="P108" i="22"/>
  <c r="P104" i="37"/>
  <c r="P108" i="27"/>
  <c r="P105" i="34"/>
  <c r="P102" i="39"/>
  <c r="P108" i="23"/>
  <c r="P112" i="3"/>
  <c r="P104" i="38"/>
  <c r="P105" i="35"/>
  <c r="P105" i="31"/>
  <c r="P106" i="29"/>
  <c r="P108" i="26"/>
  <c r="P111" i="19"/>
  <c r="P112" i="4"/>
  <c r="M17" i="41" l="1"/>
  <c r="N17" i="41" s="1"/>
  <c r="K17" i="41"/>
  <c r="L17" i="41" s="1"/>
  <c r="M17" i="40"/>
  <c r="N17" i="40" s="1"/>
  <c r="K17" i="40"/>
  <c r="L17" i="40" s="1"/>
  <c r="P155" i="42"/>
  <c r="O155" i="42"/>
  <c r="M155" i="42"/>
  <c r="J155" i="42"/>
  <c r="P154" i="42"/>
  <c r="O154" i="42"/>
  <c r="M154" i="42"/>
  <c r="J154" i="42"/>
  <c r="P153" i="42"/>
  <c r="O153" i="42"/>
  <c r="M153" i="42"/>
  <c r="J153" i="42"/>
  <c r="P152" i="42"/>
  <c r="O152" i="42"/>
  <c r="M152" i="42"/>
  <c r="J152" i="42"/>
  <c r="P151" i="42"/>
  <c r="O151" i="42"/>
  <c r="M151" i="42"/>
  <c r="J151" i="42"/>
  <c r="P150" i="42"/>
  <c r="O150" i="42"/>
  <c r="M150" i="42"/>
  <c r="J150" i="42"/>
  <c r="P149" i="42"/>
  <c r="O149" i="42"/>
  <c r="M149" i="42"/>
  <c r="J149" i="42"/>
  <c r="P148" i="42"/>
  <c r="O148" i="42"/>
  <c r="M148" i="42"/>
  <c r="J148" i="42"/>
  <c r="P147" i="42"/>
  <c r="O147" i="42"/>
  <c r="M147" i="42"/>
  <c r="J147" i="42"/>
  <c r="P146" i="42"/>
  <c r="O146" i="42"/>
  <c r="M146" i="42"/>
  <c r="J146" i="42"/>
  <c r="P145" i="42"/>
  <c r="O145" i="42"/>
  <c r="M145" i="42"/>
  <c r="J145" i="42"/>
  <c r="P144" i="42"/>
  <c r="O144" i="42"/>
  <c r="M144" i="42"/>
  <c r="J144" i="42"/>
  <c r="P143" i="42"/>
  <c r="O143" i="42"/>
  <c r="M143" i="42"/>
  <c r="J143" i="42"/>
  <c r="P142" i="42"/>
  <c r="O142" i="42"/>
  <c r="M142" i="42"/>
  <c r="J142" i="42"/>
  <c r="P141" i="42"/>
  <c r="O141" i="42"/>
  <c r="M141" i="42"/>
  <c r="J141" i="42"/>
  <c r="P140" i="42"/>
  <c r="O140" i="42"/>
  <c r="M140" i="42"/>
  <c r="J140" i="42"/>
  <c r="P139" i="42"/>
  <c r="O139" i="42"/>
  <c r="M139" i="42"/>
  <c r="J139" i="42"/>
  <c r="P138" i="42"/>
  <c r="O138" i="42"/>
  <c r="M138" i="42"/>
  <c r="J138" i="42"/>
  <c r="P137" i="42"/>
  <c r="O137" i="42"/>
  <c r="M137" i="42"/>
  <c r="J137" i="42"/>
  <c r="P136" i="42"/>
  <c r="O136" i="42"/>
  <c r="M136" i="42"/>
  <c r="J136" i="42"/>
  <c r="P135" i="42"/>
  <c r="O135" i="42"/>
  <c r="M135" i="42"/>
  <c r="J135" i="42"/>
  <c r="P134" i="42"/>
  <c r="O134" i="42"/>
  <c r="M134" i="42"/>
  <c r="J134" i="42"/>
  <c r="P133" i="42"/>
  <c r="O133" i="42"/>
  <c r="M133" i="42"/>
  <c r="J133" i="42"/>
  <c r="P132" i="42"/>
  <c r="O132" i="42"/>
  <c r="M132" i="42"/>
  <c r="J132" i="42"/>
  <c r="O131" i="42"/>
  <c r="M131" i="42"/>
  <c r="O130" i="42"/>
  <c r="M130" i="42"/>
  <c r="O129" i="42"/>
  <c r="M129" i="42"/>
  <c r="O128" i="42"/>
  <c r="M128" i="42"/>
  <c r="O127" i="42"/>
  <c r="M127" i="42"/>
  <c r="O126" i="42"/>
  <c r="M126" i="42"/>
  <c r="O125" i="42"/>
  <c r="M125" i="42"/>
  <c r="O124" i="42"/>
  <c r="M124" i="42"/>
  <c r="O123" i="42"/>
  <c r="M123" i="42"/>
  <c r="O122" i="42"/>
  <c r="M122" i="42"/>
  <c r="O121" i="42"/>
  <c r="M121" i="42"/>
  <c r="O120" i="42"/>
  <c r="M120" i="42"/>
  <c r="O119" i="42"/>
  <c r="M119" i="42"/>
  <c r="O118" i="42"/>
  <c r="M118" i="42"/>
  <c r="O117" i="42"/>
  <c r="M117" i="42"/>
  <c r="O116" i="42"/>
  <c r="M116" i="42"/>
  <c r="O115" i="42"/>
  <c r="M115" i="42"/>
  <c r="O114" i="42"/>
  <c r="M114" i="42"/>
  <c r="O113" i="42"/>
  <c r="M113" i="42"/>
  <c r="O112" i="42"/>
  <c r="M112" i="42"/>
  <c r="O111" i="42"/>
  <c r="M111" i="42"/>
  <c r="O110" i="42"/>
  <c r="M110" i="42"/>
  <c r="O109" i="42"/>
  <c r="M109" i="42"/>
  <c r="O108" i="42"/>
  <c r="M108" i="42"/>
  <c r="O107" i="42"/>
  <c r="M107" i="42"/>
  <c r="O106" i="42"/>
  <c r="M106" i="42"/>
  <c r="O105" i="42"/>
  <c r="M105" i="42"/>
  <c r="O104" i="42"/>
  <c r="M104" i="42"/>
  <c r="O103" i="42"/>
  <c r="M103" i="42"/>
  <c r="O102" i="42"/>
  <c r="M102" i="42"/>
  <c r="O101" i="42"/>
  <c r="M101" i="42"/>
  <c r="E100" i="42"/>
  <c r="J97" i="42"/>
  <c r="D97" i="42"/>
  <c r="D95" i="42"/>
  <c r="L94" i="42"/>
  <c r="D94" i="42"/>
  <c r="C100" i="42" s="1"/>
  <c r="D92" i="42"/>
  <c r="D91" i="42"/>
  <c r="D90" i="42"/>
  <c r="N73" i="42"/>
  <c r="L73" i="42"/>
  <c r="N72" i="42"/>
  <c r="L72" i="42"/>
  <c r="N71" i="42"/>
  <c r="L71" i="42"/>
  <c r="N70" i="42"/>
  <c r="L70" i="42"/>
  <c r="N69" i="42"/>
  <c r="L69" i="42"/>
  <c r="N68" i="42"/>
  <c r="L68" i="42"/>
  <c r="N67" i="42"/>
  <c r="L67" i="42"/>
  <c r="N66" i="42"/>
  <c r="L66" i="42"/>
  <c r="N65" i="42"/>
  <c r="L65" i="42"/>
  <c r="N64" i="42"/>
  <c r="L64" i="42"/>
  <c r="N63" i="42"/>
  <c r="L63" i="42"/>
  <c r="N62" i="42"/>
  <c r="L62" i="42"/>
  <c r="N61" i="42"/>
  <c r="L61" i="42"/>
  <c r="N60" i="42"/>
  <c r="L60" i="42"/>
  <c r="N59" i="42"/>
  <c r="L59" i="42"/>
  <c r="N58" i="42"/>
  <c r="L58" i="42"/>
  <c r="N57" i="42"/>
  <c r="L57" i="42"/>
  <c r="N56" i="42"/>
  <c r="L56" i="42"/>
  <c r="N55" i="42"/>
  <c r="L55" i="42"/>
  <c r="N54" i="42"/>
  <c r="L54" i="42"/>
  <c r="N53" i="42"/>
  <c r="L53" i="42"/>
  <c r="N52" i="42"/>
  <c r="L52" i="42"/>
  <c r="N51" i="42"/>
  <c r="L51" i="42"/>
  <c r="N50" i="42"/>
  <c r="L50" i="42"/>
  <c r="N49" i="42"/>
  <c r="L49" i="42"/>
  <c r="N48" i="42"/>
  <c r="L48" i="42"/>
  <c r="N47" i="42"/>
  <c r="L47" i="42"/>
  <c r="N46" i="42"/>
  <c r="L46" i="42"/>
  <c r="N45" i="42"/>
  <c r="L45" i="42"/>
  <c r="N44" i="42"/>
  <c r="L44" i="42"/>
  <c r="N43" i="42"/>
  <c r="L43" i="42"/>
  <c r="N42" i="42"/>
  <c r="L42" i="42"/>
  <c r="N41" i="42"/>
  <c r="L41" i="42"/>
  <c r="N40" i="42"/>
  <c r="L40" i="42"/>
  <c r="N39" i="42"/>
  <c r="L39" i="42"/>
  <c r="N38" i="42"/>
  <c r="L38" i="42"/>
  <c r="N37" i="42"/>
  <c r="L37" i="42"/>
  <c r="N36" i="42"/>
  <c r="L36" i="42"/>
  <c r="N35" i="42"/>
  <c r="L35" i="42"/>
  <c r="N34" i="42"/>
  <c r="L34" i="42"/>
  <c r="N33" i="42"/>
  <c r="L33" i="42"/>
  <c r="N32" i="42"/>
  <c r="L32" i="42"/>
  <c r="N31" i="42"/>
  <c r="L31" i="42"/>
  <c r="N30" i="42"/>
  <c r="L30" i="42"/>
  <c r="N29" i="42"/>
  <c r="L29" i="42"/>
  <c r="N28" i="42"/>
  <c r="L28" i="42"/>
  <c r="N27" i="42"/>
  <c r="L27" i="42"/>
  <c r="N26" i="42"/>
  <c r="L26" i="42"/>
  <c r="N25" i="42"/>
  <c r="L25" i="42"/>
  <c r="N24" i="42"/>
  <c r="L24" i="42"/>
  <c r="N23" i="42"/>
  <c r="L23" i="42"/>
  <c r="N22" i="42"/>
  <c r="L22" i="42"/>
  <c r="N21" i="42"/>
  <c r="L21" i="42"/>
  <c r="N20" i="42"/>
  <c r="L20" i="42"/>
  <c r="N19" i="42"/>
  <c r="L19" i="42"/>
  <c r="N18" i="42"/>
  <c r="L18" i="42"/>
  <c r="N17" i="42"/>
  <c r="L17" i="42"/>
  <c r="E17" i="42"/>
  <c r="C17" i="42"/>
  <c r="C18" i="42" s="1"/>
  <c r="C19" i="42" s="1"/>
  <c r="C20" i="42" s="1"/>
  <c r="C21" i="42" s="1"/>
  <c r="C22" i="42" s="1"/>
  <c r="C23" i="42" s="1"/>
  <c r="C24" i="42" s="1"/>
  <c r="C25" i="42" s="1"/>
  <c r="C26" i="42" s="1"/>
  <c r="C27" i="42" s="1"/>
  <c r="C28" i="42" s="1"/>
  <c r="C29" i="42" s="1"/>
  <c r="C30" i="42" s="1"/>
  <c r="C31" i="42" s="1"/>
  <c r="C32" i="42" s="1"/>
  <c r="C33" i="42" s="1"/>
  <c r="C34" i="42" s="1"/>
  <c r="C35" i="42" s="1"/>
  <c r="C36" i="42" s="1"/>
  <c r="C37" i="42" s="1"/>
  <c r="C38" i="42" s="1"/>
  <c r="C39" i="42" s="1"/>
  <c r="C40" i="42" s="1"/>
  <c r="C41" i="42" s="1"/>
  <c r="C42" i="42" s="1"/>
  <c r="C43" i="42" s="1"/>
  <c r="C44" i="42" s="1"/>
  <c r="C45" i="42" s="1"/>
  <c r="B17" i="42"/>
  <c r="I14" i="42"/>
  <c r="K11" i="42"/>
  <c r="P84" i="42"/>
  <c r="P155" i="41"/>
  <c r="O155" i="41"/>
  <c r="M155" i="41"/>
  <c r="J155" i="41"/>
  <c r="P154" i="41"/>
  <c r="O154" i="41"/>
  <c r="M154" i="41"/>
  <c r="J154" i="41"/>
  <c r="P153" i="41"/>
  <c r="O153" i="41"/>
  <c r="M153" i="41"/>
  <c r="J153" i="41"/>
  <c r="P152" i="41"/>
  <c r="O152" i="41"/>
  <c r="M152" i="41"/>
  <c r="J152" i="41"/>
  <c r="P151" i="41"/>
  <c r="O151" i="41"/>
  <c r="M151" i="41"/>
  <c r="J151" i="41"/>
  <c r="P150" i="41"/>
  <c r="O150" i="41"/>
  <c r="M150" i="41"/>
  <c r="J150" i="41"/>
  <c r="P149" i="41"/>
  <c r="O149" i="41"/>
  <c r="M149" i="41"/>
  <c r="J149" i="41"/>
  <c r="P148" i="41"/>
  <c r="O148" i="41"/>
  <c r="M148" i="41"/>
  <c r="J148" i="41"/>
  <c r="P147" i="41"/>
  <c r="O147" i="41"/>
  <c r="M147" i="41"/>
  <c r="J147" i="41"/>
  <c r="P146" i="41"/>
  <c r="O146" i="41"/>
  <c r="M146" i="41"/>
  <c r="J146" i="41"/>
  <c r="P145" i="41"/>
  <c r="O145" i="41"/>
  <c r="M145" i="41"/>
  <c r="J145" i="41"/>
  <c r="P144" i="41"/>
  <c r="O144" i="41"/>
  <c r="M144" i="41"/>
  <c r="J144" i="41"/>
  <c r="P143" i="41"/>
  <c r="O143" i="41"/>
  <c r="M143" i="41"/>
  <c r="J143" i="41"/>
  <c r="P142" i="41"/>
  <c r="O142" i="41"/>
  <c r="M142" i="41"/>
  <c r="J142" i="41"/>
  <c r="P141" i="41"/>
  <c r="O141" i="41"/>
  <c r="M141" i="41"/>
  <c r="J141" i="41"/>
  <c r="P140" i="41"/>
  <c r="O140" i="41"/>
  <c r="M140" i="41"/>
  <c r="J140" i="41"/>
  <c r="P139" i="41"/>
  <c r="O139" i="41"/>
  <c r="M139" i="41"/>
  <c r="J139" i="41"/>
  <c r="P138" i="41"/>
  <c r="O138" i="41"/>
  <c r="M138" i="41"/>
  <c r="J138" i="41"/>
  <c r="P137" i="41"/>
  <c r="O137" i="41"/>
  <c r="M137" i="41"/>
  <c r="J137" i="41"/>
  <c r="P136" i="41"/>
  <c r="O136" i="41"/>
  <c r="M136" i="41"/>
  <c r="J136" i="41"/>
  <c r="P135" i="41"/>
  <c r="O135" i="41"/>
  <c r="M135" i="41"/>
  <c r="J135" i="41"/>
  <c r="P134" i="41"/>
  <c r="O134" i="41"/>
  <c r="M134" i="41"/>
  <c r="J134" i="41"/>
  <c r="P133" i="41"/>
  <c r="O133" i="41"/>
  <c r="M133" i="41"/>
  <c r="J133" i="41"/>
  <c r="P132" i="41"/>
  <c r="O132" i="41"/>
  <c r="M132" i="41"/>
  <c r="J132" i="41"/>
  <c r="O131" i="41"/>
  <c r="M131" i="41"/>
  <c r="O130" i="41"/>
  <c r="M130" i="41"/>
  <c r="O129" i="41"/>
  <c r="M129" i="41"/>
  <c r="O128" i="41"/>
  <c r="M128" i="41"/>
  <c r="O127" i="41"/>
  <c r="M127" i="41"/>
  <c r="O126" i="41"/>
  <c r="M126" i="41"/>
  <c r="O125" i="41"/>
  <c r="M125" i="41"/>
  <c r="O124" i="41"/>
  <c r="M124" i="41"/>
  <c r="O123" i="41"/>
  <c r="M123" i="41"/>
  <c r="O122" i="41"/>
  <c r="M122" i="41"/>
  <c r="O121" i="41"/>
  <c r="M121" i="41"/>
  <c r="O120" i="41"/>
  <c r="M120" i="41"/>
  <c r="O119" i="41"/>
  <c r="M119" i="41"/>
  <c r="O118" i="41"/>
  <c r="M118" i="41"/>
  <c r="O117" i="41"/>
  <c r="M117" i="41"/>
  <c r="O116" i="41"/>
  <c r="M116" i="41"/>
  <c r="O115" i="41"/>
  <c r="M115" i="41"/>
  <c r="O114" i="41"/>
  <c r="M114" i="41"/>
  <c r="O113" i="41"/>
  <c r="M113" i="41"/>
  <c r="O112" i="41"/>
  <c r="M112" i="41"/>
  <c r="O111" i="41"/>
  <c r="M111" i="41"/>
  <c r="O110" i="41"/>
  <c r="M110" i="41"/>
  <c r="O109" i="41"/>
  <c r="M109" i="41"/>
  <c r="O108" i="41"/>
  <c r="M108" i="41"/>
  <c r="O107" i="41"/>
  <c r="M107" i="41"/>
  <c r="O106" i="41"/>
  <c r="M106" i="41"/>
  <c r="O105" i="41"/>
  <c r="M105" i="41"/>
  <c r="O104" i="41"/>
  <c r="M104" i="41"/>
  <c r="O103" i="41"/>
  <c r="M103" i="41"/>
  <c r="O102" i="41"/>
  <c r="M102" i="41"/>
  <c r="O101" i="41"/>
  <c r="M101" i="41"/>
  <c r="D97" i="41"/>
  <c r="D95" i="41"/>
  <c r="L94" i="41"/>
  <c r="D94" i="41"/>
  <c r="D92" i="41"/>
  <c r="D91" i="41"/>
  <c r="D90" i="41"/>
  <c r="N73" i="41"/>
  <c r="L73" i="41"/>
  <c r="N72" i="41"/>
  <c r="L72" i="41"/>
  <c r="N71" i="41"/>
  <c r="L71" i="41"/>
  <c r="N70" i="41"/>
  <c r="L70" i="41"/>
  <c r="N69" i="41"/>
  <c r="L69" i="41"/>
  <c r="N68" i="41"/>
  <c r="L68" i="41"/>
  <c r="N67" i="41"/>
  <c r="L67" i="41"/>
  <c r="N66" i="41"/>
  <c r="L66" i="41"/>
  <c r="N65" i="41"/>
  <c r="L65" i="41"/>
  <c r="N64" i="41"/>
  <c r="L64" i="41"/>
  <c r="N63" i="41"/>
  <c r="L63" i="41"/>
  <c r="N62" i="41"/>
  <c r="L62" i="41"/>
  <c r="N61" i="41"/>
  <c r="L61" i="41"/>
  <c r="N60" i="41"/>
  <c r="L60" i="41"/>
  <c r="N59" i="41"/>
  <c r="L59" i="41"/>
  <c r="N58" i="41"/>
  <c r="L58" i="41"/>
  <c r="N57" i="41"/>
  <c r="L57" i="41"/>
  <c r="N56" i="41"/>
  <c r="L56" i="41"/>
  <c r="N55" i="41"/>
  <c r="L55" i="41"/>
  <c r="N54" i="41"/>
  <c r="L54" i="41"/>
  <c r="N53" i="41"/>
  <c r="L53" i="41"/>
  <c r="N52" i="41"/>
  <c r="L52" i="41"/>
  <c r="N51" i="41"/>
  <c r="L51" i="41"/>
  <c r="N50" i="41"/>
  <c r="L50" i="41"/>
  <c r="N49" i="41"/>
  <c r="L49" i="41"/>
  <c r="N48" i="41"/>
  <c r="L48" i="41"/>
  <c r="N47" i="41"/>
  <c r="L47" i="41"/>
  <c r="N46" i="41"/>
  <c r="L46" i="41"/>
  <c r="N45" i="41"/>
  <c r="L45" i="41"/>
  <c r="N44" i="41"/>
  <c r="L44" i="41"/>
  <c r="N43" i="41"/>
  <c r="L43" i="41"/>
  <c r="N42" i="41"/>
  <c r="L42" i="41"/>
  <c r="N41" i="41"/>
  <c r="L41" i="41"/>
  <c r="N40" i="41"/>
  <c r="L40" i="41"/>
  <c r="N39" i="41"/>
  <c r="L39" i="41"/>
  <c r="N38" i="41"/>
  <c r="L38" i="41"/>
  <c r="N37" i="41"/>
  <c r="L37" i="41"/>
  <c r="N36" i="41"/>
  <c r="L36" i="41"/>
  <c r="N35" i="41"/>
  <c r="L35" i="41"/>
  <c r="N34" i="41"/>
  <c r="L34" i="41"/>
  <c r="N33" i="41"/>
  <c r="L33" i="41"/>
  <c r="N32" i="41"/>
  <c r="L32" i="41"/>
  <c r="N31" i="41"/>
  <c r="L31" i="41"/>
  <c r="N30" i="41"/>
  <c r="L30" i="41"/>
  <c r="N29" i="41"/>
  <c r="L29" i="41"/>
  <c r="N28" i="41"/>
  <c r="L28" i="41"/>
  <c r="N27" i="41"/>
  <c r="L27" i="41"/>
  <c r="N26" i="41"/>
  <c r="L26" i="41"/>
  <c r="N25" i="41"/>
  <c r="L25" i="41"/>
  <c r="N24" i="41"/>
  <c r="L24" i="41"/>
  <c r="N23" i="41"/>
  <c r="L23" i="41"/>
  <c r="N22" i="41"/>
  <c r="L22" i="41"/>
  <c r="N21" i="41"/>
  <c r="L21" i="41"/>
  <c r="N20" i="41"/>
  <c r="L20" i="41"/>
  <c r="N19" i="41"/>
  <c r="L19" i="41"/>
  <c r="N18" i="41"/>
  <c r="C17" i="41"/>
  <c r="C18" i="41" s="1"/>
  <c r="C19" i="41" s="1"/>
  <c r="C20" i="41" s="1"/>
  <c r="C21" i="41" s="1"/>
  <c r="C22" i="41" s="1"/>
  <c r="C23" i="41" s="1"/>
  <c r="C24" i="41" s="1"/>
  <c r="C25" i="41" s="1"/>
  <c r="C26" i="41" s="1"/>
  <c r="C27" i="41" s="1"/>
  <c r="C28" i="41" s="1"/>
  <c r="C29" i="41" s="1"/>
  <c r="C30" i="41" s="1"/>
  <c r="C31" i="41" s="1"/>
  <c r="C32" i="41" s="1"/>
  <c r="C33" i="41" s="1"/>
  <c r="C34" i="41" s="1"/>
  <c r="C35" i="41" s="1"/>
  <c r="C36" i="41" s="1"/>
  <c r="C37" i="41" s="1"/>
  <c r="C38" i="41" s="1"/>
  <c r="C39" i="41" s="1"/>
  <c r="C40" i="41" s="1"/>
  <c r="C41" i="41" s="1"/>
  <c r="C42" i="41" s="1"/>
  <c r="C43" i="41" s="1"/>
  <c r="C44" i="41" s="1"/>
  <c r="C45" i="41" s="1"/>
  <c r="B17" i="41"/>
  <c r="K11" i="41"/>
  <c r="P84" i="41"/>
  <c r="P155" i="40"/>
  <c r="O155" i="40"/>
  <c r="M155" i="40"/>
  <c r="J155" i="40"/>
  <c r="P154" i="40"/>
  <c r="O154" i="40"/>
  <c r="M154" i="40"/>
  <c r="J154" i="40"/>
  <c r="P153" i="40"/>
  <c r="O153" i="40"/>
  <c r="M153" i="40"/>
  <c r="J153" i="40"/>
  <c r="P152" i="40"/>
  <c r="O152" i="40"/>
  <c r="M152" i="40"/>
  <c r="J152" i="40"/>
  <c r="P151" i="40"/>
  <c r="O151" i="40"/>
  <c r="M151" i="40"/>
  <c r="J151" i="40"/>
  <c r="P150" i="40"/>
  <c r="O150" i="40"/>
  <c r="M150" i="40"/>
  <c r="J150" i="40"/>
  <c r="P149" i="40"/>
  <c r="O149" i="40"/>
  <c r="M149" i="40"/>
  <c r="J149" i="40"/>
  <c r="P148" i="40"/>
  <c r="O148" i="40"/>
  <c r="M148" i="40"/>
  <c r="J148" i="40"/>
  <c r="P147" i="40"/>
  <c r="O147" i="40"/>
  <c r="M147" i="40"/>
  <c r="J147" i="40"/>
  <c r="P146" i="40"/>
  <c r="O146" i="40"/>
  <c r="M146" i="40"/>
  <c r="J146" i="40"/>
  <c r="P145" i="40"/>
  <c r="O145" i="40"/>
  <c r="M145" i="40"/>
  <c r="J145" i="40"/>
  <c r="P144" i="40"/>
  <c r="O144" i="40"/>
  <c r="M144" i="40"/>
  <c r="J144" i="40"/>
  <c r="P143" i="40"/>
  <c r="O143" i="40"/>
  <c r="M143" i="40"/>
  <c r="J143" i="40"/>
  <c r="P142" i="40"/>
  <c r="O142" i="40"/>
  <c r="M142" i="40"/>
  <c r="J142" i="40"/>
  <c r="P141" i="40"/>
  <c r="O141" i="40"/>
  <c r="M141" i="40"/>
  <c r="J141" i="40"/>
  <c r="P140" i="40"/>
  <c r="O140" i="40"/>
  <c r="M140" i="40"/>
  <c r="J140" i="40"/>
  <c r="P139" i="40"/>
  <c r="O139" i="40"/>
  <c r="M139" i="40"/>
  <c r="J139" i="40"/>
  <c r="P138" i="40"/>
  <c r="O138" i="40"/>
  <c r="M138" i="40"/>
  <c r="J138" i="40"/>
  <c r="P137" i="40"/>
  <c r="O137" i="40"/>
  <c r="M137" i="40"/>
  <c r="J137" i="40"/>
  <c r="P136" i="40"/>
  <c r="O136" i="40"/>
  <c r="M136" i="40"/>
  <c r="J136" i="40"/>
  <c r="P135" i="40"/>
  <c r="O135" i="40"/>
  <c r="M135" i="40"/>
  <c r="J135" i="40"/>
  <c r="P134" i="40"/>
  <c r="O134" i="40"/>
  <c r="M134" i="40"/>
  <c r="J134" i="40"/>
  <c r="P133" i="40"/>
  <c r="O133" i="40"/>
  <c r="M133" i="40"/>
  <c r="J133" i="40"/>
  <c r="P132" i="40"/>
  <c r="O132" i="40"/>
  <c r="M132" i="40"/>
  <c r="J132" i="40"/>
  <c r="O131" i="40"/>
  <c r="M131" i="40"/>
  <c r="O130" i="40"/>
  <c r="M130" i="40"/>
  <c r="O129" i="40"/>
  <c r="M129" i="40"/>
  <c r="O128" i="40"/>
  <c r="M128" i="40"/>
  <c r="O127" i="40"/>
  <c r="M127" i="40"/>
  <c r="O126" i="40"/>
  <c r="M126" i="40"/>
  <c r="O125" i="40"/>
  <c r="M125" i="40"/>
  <c r="O124" i="40"/>
  <c r="M124" i="40"/>
  <c r="O123" i="40"/>
  <c r="M123" i="40"/>
  <c r="O122" i="40"/>
  <c r="M122" i="40"/>
  <c r="O121" i="40"/>
  <c r="M121" i="40"/>
  <c r="O120" i="40"/>
  <c r="M120" i="40"/>
  <c r="O119" i="40"/>
  <c r="M119" i="40"/>
  <c r="O118" i="40"/>
  <c r="M118" i="40"/>
  <c r="O117" i="40"/>
  <c r="M117" i="40"/>
  <c r="O116" i="40"/>
  <c r="M116" i="40"/>
  <c r="O115" i="40"/>
  <c r="M115" i="40"/>
  <c r="O114" i="40"/>
  <c r="M114" i="40"/>
  <c r="O113" i="40"/>
  <c r="M113" i="40"/>
  <c r="O112" i="40"/>
  <c r="M112" i="40"/>
  <c r="O111" i="40"/>
  <c r="M111" i="40"/>
  <c r="O110" i="40"/>
  <c r="M110" i="40"/>
  <c r="O109" i="40"/>
  <c r="M109" i="40"/>
  <c r="O108" i="40"/>
  <c r="M108" i="40"/>
  <c r="O107" i="40"/>
  <c r="M107" i="40"/>
  <c r="O106" i="40"/>
  <c r="M106" i="40"/>
  <c r="O105" i="40"/>
  <c r="M105" i="40"/>
  <c r="O104" i="40"/>
  <c r="M104" i="40"/>
  <c r="O103" i="40"/>
  <c r="M103" i="40"/>
  <c r="O102" i="40"/>
  <c r="M102" i="40"/>
  <c r="D97" i="40"/>
  <c r="D95" i="40"/>
  <c r="L94" i="40"/>
  <c r="D94" i="40"/>
  <c r="C100" i="40" s="1"/>
  <c r="D92" i="40"/>
  <c r="D91" i="40"/>
  <c r="D90" i="40"/>
  <c r="N73" i="40"/>
  <c r="L73" i="40"/>
  <c r="N72" i="40"/>
  <c r="L72" i="40"/>
  <c r="N71" i="40"/>
  <c r="L71" i="40"/>
  <c r="N70" i="40"/>
  <c r="L70" i="40"/>
  <c r="N69" i="40"/>
  <c r="L69" i="40"/>
  <c r="N68" i="40"/>
  <c r="L68" i="40"/>
  <c r="N67" i="40"/>
  <c r="L67" i="40"/>
  <c r="N66" i="40"/>
  <c r="L66" i="40"/>
  <c r="N65" i="40"/>
  <c r="L65" i="40"/>
  <c r="N64" i="40"/>
  <c r="L64" i="40"/>
  <c r="N63" i="40"/>
  <c r="L63" i="40"/>
  <c r="N62" i="40"/>
  <c r="L62" i="40"/>
  <c r="N61" i="40"/>
  <c r="L61" i="40"/>
  <c r="N60" i="40"/>
  <c r="L60" i="40"/>
  <c r="N59" i="40"/>
  <c r="L59" i="40"/>
  <c r="N58" i="40"/>
  <c r="L58" i="40"/>
  <c r="N57" i="40"/>
  <c r="L57" i="40"/>
  <c r="N56" i="40"/>
  <c r="L56" i="40"/>
  <c r="N55" i="40"/>
  <c r="L55" i="40"/>
  <c r="N54" i="40"/>
  <c r="L54" i="40"/>
  <c r="N53" i="40"/>
  <c r="L53" i="40"/>
  <c r="N52" i="40"/>
  <c r="L52" i="40"/>
  <c r="N51" i="40"/>
  <c r="L51" i="40"/>
  <c r="N50" i="40"/>
  <c r="L50" i="40"/>
  <c r="N49" i="40"/>
  <c r="L49" i="40"/>
  <c r="N48" i="40"/>
  <c r="L48" i="40"/>
  <c r="N47" i="40"/>
  <c r="L47" i="40"/>
  <c r="N46" i="40"/>
  <c r="L46" i="40"/>
  <c r="N45" i="40"/>
  <c r="L45" i="40"/>
  <c r="N44" i="40"/>
  <c r="L44" i="40"/>
  <c r="N43" i="40"/>
  <c r="L43" i="40"/>
  <c r="N42" i="40"/>
  <c r="L42" i="40"/>
  <c r="N41" i="40"/>
  <c r="L41" i="40"/>
  <c r="N40" i="40"/>
  <c r="L40" i="40"/>
  <c r="N39" i="40"/>
  <c r="L39" i="40"/>
  <c r="N38" i="40"/>
  <c r="L38" i="40"/>
  <c r="N37" i="40"/>
  <c r="L37" i="40"/>
  <c r="N36" i="40"/>
  <c r="L36" i="40"/>
  <c r="N35" i="40"/>
  <c r="L35" i="40"/>
  <c r="N34" i="40"/>
  <c r="L34" i="40"/>
  <c r="N33" i="40"/>
  <c r="L33" i="40"/>
  <c r="N32" i="40"/>
  <c r="L32" i="40"/>
  <c r="N31" i="40"/>
  <c r="L31" i="40"/>
  <c r="N30" i="40"/>
  <c r="L30" i="40"/>
  <c r="N29" i="40"/>
  <c r="L29" i="40"/>
  <c r="N28" i="40"/>
  <c r="L28" i="40"/>
  <c r="N27" i="40"/>
  <c r="L27" i="40"/>
  <c r="N26" i="40"/>
  <c r="L26" i="40"/>
  <c r="N25" i="40"/>
  <c r="L25" i="40"/>
  <c r="N24" i="40"/>
  <c r="L24" i="40"/>
  <c r="N23" i="40"/>
  <c r="L23" i="40"/>
  <c r="N22" i="40"/>
  <c r="L22" i="40"/>
  <c r="N21" i="40"/>
  <c r="L21" i="40"/>
  <c r="N20" i="40"/>
  <c r="L20" i="40"/>
  <c r="N19" i="40"/>
  <c r="L19" i="40"/>
  <c r="N18" i="40"/>
  <c r="C17" i="40"/>
  <c r="C18" i="40" s="1"/>
  <c r="C19" i="40" s="1"/>
  <c r="C20" i="40" s="1"/>
  <c r="C21" i="40" s="1"/>
  <c r="C22" i="40" s="1"/>
  <c r="C23" i="40" s="1"/>
  <c r="C24" i="40" s="1"/>
  <c r="C25" i="40" s="1"/>
  <c r="C26" i="40" s="1"/>
  <c r="C27" i="40" s="1"/>
  <c r="C28" i="40" s="1"/>
  <c r="C29" i="40" s="1"/>
  <c r="C30" i="40" s="1"/>
  <c r="C31" i="40" s="1"/>
  <c r="C32" i="40" s="1"/>
  <c r="C33" i="40" s="1"/>
  <c r="C34" i="40" s="1"/>
  <c r="C35" i="40" s="1"/>
  <c r="C36" i="40" s="1"/>
  <c r="C37" i="40" s="1"/>
  <c r="C38" i="40" s="1"/>
  <c r="C39" i="40" s="1"/>
  <c r="C40" i="40" s="1"/>
  <c r="C41" i="40" s="1"/>
  <c r="C42" i="40" s="1"/>
  <c r="C43" i="40" s="1"/>
  <c r="C44" i="40" s="1"/>
  <c r="C45" i="40" s="1"/>
  <c r="B17" i="40"/>
  <c r="K11" i="40"/>
  <c r="P84" i="40"/>
  <c r="N101" i="39"/>
  <c r="L101" i="39"/>
  <c r="M101" i="39" s="1"/>
  <c r="M19" i="39"/>
  <c r="K19" i="39"/>
  <c r="L19" i="39" s="1"/>
  <c r="N103" i="37"/>
  <c r="L103" i="37"/>
  <c r="M103" i="37" s="1"/>
  <c r="M21" i="37"/>
  <c r="K21" i="37"/>
  <c r="L21" i="37" s="1"/>
  <c r="N103" i="38"/>
  <c r="L103" i="38"/>
  <c r="M103" i="38" s="1"/>
  <c r="M21" i="38"/>
  <c r="K21" i="38"/>
  <c r="L21" i="38" s="1"/>
  <c r="N104" i="35"/>
  <c r="L104" i="35"/>
  <c r="M104" i="35" s="1"/>
  <c r="M22" i="35"/>
  <c r="K22" i="35"/>
  <c r="L22" i="35" s="1"/>
  <c r="N104" i="34"/>
  <c r="L104" i="34"/>
  <c r="M104" i="34" s="1"/>
  <c r="M22" i="34"/>
  <c r="K22" i="34"/>
  <c r="L22" i="34" s="1"/>
  <c r="N104" i="31"/>
  <c r="L104" i="31"/>
  <c r="M104" i="31" s="1"/>
  <c r="M22" i="31"/>
  <c r="K22" i="31"/>
  <c r="L22" i="31" s="1"/>
  <c r="N105" i="29"/>
  <c r="L105" i="29"/>
  <c r="M105" i="29" s="1"/>
  <c r="M23" i="29"/>
  <c r="K23" i="29"/>
  <c r="L23" i="29" s="1"/>
  <c r="N107" i="27"/>
  <c r="L107" i="27"/>
  <c r="M107" i="27" s="1"/>
  <c r="M25" i="27"/>
  <c r="K25" i="27"/>
  <c r="L25" i="27" s="1"/>
  <c r="N107" i="26"/>
  <c r="L107" i="26"/>
  <c r="M107" i="26" s="1"/>
  <c r="M25" i="26"/>
  <c r="K25" i="26"/>
  <c r="L25" i="26" s="1"/>
  <c r="N108" i="24"/>
  <c r="L108" i="24"/>
  <c r="M108" i="24" s="1"/>
  <c r="M26" i="24"/>
  <c r="K26" i="24"/>
  <c r="L26" i="24" s="1"/>
  <c r="N106" i="25"/>
  <c r="L106" i="25"/>
  <c r="M106" i="25" s="1"/>
  <c r="M24" i="25"/>
  <c r="K24" i="25"/>
  <c r="L24" i="25" s="1"/>
  <c r="N107" i="23"/>
  <c r="L107" i="23"/>
  <c r="M107" i="23" s="1"/>
  <c r="M25" i="23"/>
  <c r="K25" i="23"/>
  <c r="L25" i="23" s="1"/>
  <c r="N107" i="22"/>
  <c r="L107" i="22"/>
  <c r="M107" i="22" s="1"/>
  <c r="M25" i="22"/>
  <c r="K25" i="22"/>
  <c r="L25" i="22" s="1"/>
  <c r="N108" i="21"/>
  <c r="L108" i="21"/>
  <c r="M108" i="21" s="1"/>
  <c r="M26" i="21"/>
  <c r="K26" i="21"/>
  <c r="L26" i="21" s="1"/>
  <c r="N110" i="19"/>
  <c r="L110" i="19"/>
  <c r="M110" i="19" s="1"/>
  <c r="M28" i="19"/>
  <c r="K28" i="19"/>
  <c r="L28" i="19" s="1"/>
  <c r="N110" i="18"/>
  <c r="L110" i="18"/>
  <c r="M110" i="18" s="1"/>
  <c r="M28" i="18"/>
  <c r="K28" i="18"/>
  <c r="L28" i="18" s="1"/>
  <c r="N111" i="4"/>
  <c r="L111" i="4"/>
  <c r="M111" i="4" s="1"/>
  <c r="M29" i="4"/>
  <c r="K29" i="4"/>
  <c r="L29" i="4" s="1"/>
  <c r="N111" i="3"/>
  <c r="L111" i="3"/>
  <c r="M111" i="3" s="1"/>
  <c r="M29" i="3"/>
  <c r="K29" i="3"/>
  <c r="L29" i="3" s="1"/>
  <c r="P106" i="42" l="1"/>
  <c r="P111" i="40"/>
  <c r="O19" i="41"/>
  <c r="O55" i="41"/>
  <c r="P117" i="41"/>
  <c r="O69" i="40"/>
  <c r="O17" i="41"/>
  <c r="O53" i="41"/>
  <c r="O59" i="41"/>
  <c r="P119" i="41"/>
  <c r="O20" i="41"/>
  <c r="O24" i="41"/>
  <c r="O26" i="41"/>
  <c r="O28" i="41"/>
  <c r="O32" i="41"/>
  <c r="O58" i="41"/>
  <c r="O62" i="41"/>
  <c r="O70" i="41"/>
  <c r="P102" i="41"/>
  <c r="P104" i="41"/>
  <c r="P106" i="41"/>
  <c r="P108" i="41"/>
  <c r="P110" i="41"/>
  <c r="P112" i="41"/>
  <c r="P114" i="41"/>
  <c r="O17" i="42"/>
  <c r="O21" i="42"/>
  <c r="O23" i="42"/>
  <c r="O29" i="42"/>
  <c r="O31" i="42"/>
  <c r="O39" i="42"/>
  <c r="O47" i="42"/>
  <c r="O55" i="42"/>
  <c r="O61" i="42"/>
  <c r="O65" i="42"/>
  <c r="O71" i="42"/>
  <c r="O73" i="42"/>
  <c r="P111" i="42"/>
  <c r="P113" i="42"/>
  <c r="P123" i="42"/>
  <c r="P127" i="42"/>
  <c r="P131" i="42"/>
  <c r="O36" i="41"/>
  <c r="O48" i="41"/>
  <c r="P121" i="41"/>
  <c r="P123" i="41"/>
  <c r="P127" i="41"/>
  <c r="P131" i="41"/>
  <c r="O18" i="42"/>
  <c r="O22" i="42"/>
  <c r="O24" i="42"/>
  <c r="O26" i="42"/>
  <c r="O28" i="42"/>
  <c r="O36" i="42"/>
  <c r="O38" i="42"/>
  <c r="O44" i="42"/>
  <c r="O46" i="42"/>
  <c r="O52" i="42"/>
  <c r="O54" i="42"/>
  <c r="O62" i="42"/>
  <c r="O66" i="42"/>
  <c r="O72" i="42"/>
  <c r="P102" i="42"/>
  <c r="P104" i="42"/>
  <c r="P108" i="42"/>
  <c r="P110" i="42"/>
  <c r="P112" i="42"/>
  <c r="P114" i="42"/>
  <c r="P116" i="42"/>
  <c r="P118" i="42"/>
  <c r="P120" i="42"/>
  <c r="O19" i="42"/>
  <c r="O25" i="42"/>
  <c r="O27" i="42"/>
  <c r="O33" i="42"/>
  <c r="O35" i="42"/>
  <c r="O41" i="42"/>
  <c r="O43" i="42"/>
  <c r="O49" i="42"/>
  <c r="O51" i="42"/>
  <c r="O59" i="42"/>
  <c r="O63" i="42"/>
  <c r="O67" i="42"/>
  <c r="P101" i="42"/>
  <c r="P105" i="42"/>
  <c r="P107" i="42"/>
  <c r="P109" i="42"/>
  <c r="P115" i="42"/>
  <c r="P119" i="42"/>
  <c r="O29" i="41"/>
  <c r="O51" i="41"/>
  <c r="P115" i="41"/>
  <c r="P124" i="41"/>
  <c r="P126" i="41"/>
  <c r="P128" i="41"/>
  <c r="P130" i="41"/>
  <c r="P117" i="42"/>
  <c r="O42" i="41"/>
  <c r="O46" i="41"/>
  <c r="O52" i="41"/>
  <c r="O56" i="41"/>
  <c r="O64" i="41"/>
  <c r="O37" i="42"/>
  <c r="O40" i="42"/>
  <c r="O42" i="42"/>
  <c r="O53" i="42"/>
  <c r="O56" i="42"/>
  <c r="O58" i="42"/>
  <c r="O60" i="42"/>
  <c r="O68" i="42"/>
  <c r="O70" i="42"/>
  <c r="P103" i="42"/>
  <c r="O30" i="42"/>
  <c r="P128" i="42"/>
  <c r="O18" i="41"/>
  <c r="O33" i="41"/>
  <c r="O35" i="41"/>
  <c r="O37" i="41"/>
  <c r="O39" i="41"/>
  <c r="O43" i="41"/>
  <c r="O47" i="41"/>
  <c r="P116" i="41"/>
  <c r="P118" i="41"/>
  <c r="P125" i="41"/>
  <c r="O20" i="42"/>
  <c r="O32" i="42"/>
  <c r="O34" i="42"/>
  <c r="O45" i="42"/>
  <c r="O48" i="42"/>
  <c r="O50" i="42"/>
  <c r="O57" i="42"/>
  <c r="O64" i="42"/>
  <c r="O63" i="41"/>
  <c r="O71" i="41"/>
  <c r="O73" i="41"/>
  <c r="P120" i="41"/>
  <c r="P122" i="41"/>
  <c r="P129" i="41"/>
  <c r="C46" i="42"/>
  <c r="C47" i="42" s="1"/>
  <c r="C48" i="42" s="1"/>
  <c r="C49" i="42" s="1"/>
  <c r="C50" i="42" s="1"/>
  <c r="C51" i="42" s="1"/>
  <c r="C52" i="42" s="1"/>
  <c r="C53" i="42" s="1"/>
  <c r="C54" i="42" s="1"/>
  <c r="C55" i="42" s="1"/>
  <c r="C56" i="42" s="1"/>
  <c r="C57" i="42" s="1"/>
  <c r="C58" i="42" s="1"/>
  <c r="C59" i="42" s="1"/>
  <c r="C60" i="42" s="1"/>
  <c r="C61" i="42" s="1"/>
  <c r="C62" i="42" s="1"/>
  <c r="C63" i="42" s="1"/>
  <c r="C64" i="42" s="1"/>
  <c r="C65" i="42" s="1"/>
  <c r="C66" i="42" s="1"/>
  <c r="C67" i="42" s="1"/>
  <c r="C68" i="42" s="1"/>
  <c r="C69" i="42" s="1"/>
  <c r="C70" i="42" s="1"/>
  <c r="C71" i="42" s="1"/>
  <c r="C72" i="42" s="1"/>
  <c r="O20" i="40"/>
  <c r="O28" i="40"/>
  <c r="O36" i="40"/>
  <c r="O40" i="40"/>
  <c r="O44" i="40"/>
  <c r="O50" i="40"/>
  <c r="O60" i="40"/>
  <c r="O25" i="41"/>
  <c r="O27" i="41"/>
  <c r="O34" i="41"/>
  <c r="O38" i="41"/>
  <c r="O40" i="41"/>
  <c r="O54" i="41"/>
  <c r="O72" i="41"/>
  <c r="P101" i="41"/>
  <c r="P103" i="41"/>
  <c r="P105" i="41"/>
  <c r="P107" i="41"/>
  <c r="P109" i="41"/>
  <c r="P111" i="41"/>
  <c r="P113" i="41"/>
  <c r="O21" i="40"/>
  <c r="O25" i="40"/>
  <c r="O53" i="40"/>
  <c r="O22" i="41"/>
  <c r="O31" i="41"/>
  <c r="O44" i="41"/>
  <c r="O60" i="41"/>
  <c r="O67" i="41"/>
  <c r="O69" i="41"/>
  <c r="F17" i="42"/>
  <c r="O21" i="41"/>
  <c r="O23" i="41"/>
  <c r="O30" i="41"/>
  <c r="O50" i="41"/>
  <c r="O57" i="41"/>
  <c r="O66" i="41"/>
  <c r="O68" i="41"/>
  <c r="F100" i="42"/>
  <c r="C101" i="42"/>
  <c r="C102" i="42" s="1"/>
  <c r="C103" i="42" s="1"/>
  <c r="C104" i="42" s="1"/>
  <c r="C105" i="42" s="1"/>
  <c r="C106" i="42" s="1"/>
  <c r="C107" i="42" s="1"/>
  <c r="C108" i="42" s="1"/>
  <c r="C109" i="42" s="1"/>
  <c r="C110" i="42" s="1"/>
  <c r="C111" i="42" s="1"/>
  <c r="C112" i="42" s="1"/>
  <c r="C113" i="42" s="1"/>
  <c r="C114" i="42" s="1"/>
  <c r="C115" i="42" s="1"/>
  <c r="C116" i="42" s="1"/>
  <c r="C117" i="42" s="1"/>
  <c r="C118" i="42" s="1"/>
  <c r="C119" i="42" s="1"/>
  <c r="C120" i="42" s="1"/>
  <c r="C121" i="42" s="1"/>
  <c r="C122" i="42" s="1"/>
  <c r="C123" i="42" s="1"/>
  <c r="C124" i="42" s="1"/>
  <c r="C125" i="42" s="1"/>
  <c r="C126" i="42" s="1"/>
  <c r="C127" i="42" s="1"/>
  <c r="C128" i="42" s="1"/>
  <c r="C129" i="42" s="1"/>
  <c r="C130" i="42" s="1"/>
  <c r="C131" i="42" s="1"/>
  <c r="C132" i="42" s="1"/>
  <c r="C133" i="42" s="1"/>
  <c r="C134" i="42" s="1"/>
  <c r="C135" i="42" s="1"/>
  <c r="C136" i="42" s="1"/>
  <c r="C137" i="42" s="1"/>
  <c r="C138" i="42" s="1"/>
  <c r="C139" i="42" s="1"/>
  <c r="C140" i="42" s="1"/>
  <c r="C141" i="42" s="1"/>
  <c r="C142" i="42" s="1"/>
  <c r="C143" i="42" s="1"/>
  <c r="C144" i="42" s="1"/>
  <c r="C145" i="42" s="1"/>
  <c r="C146" i="42" s="1"/>
  <c r="C147" i="42" s="1"/>
  <c r="C148" i="42" s="1"/>
  <c r="C149" i="42" s="1"/>
  <c r="C150" i="42" s="1"/>
  <c r="C151" i="42" s="1"/>
  <c r="C152" i="42" s="1"/>
  <c r="C153" i="42" s="1"/>
  <c r="C154" i="42" s="1"/>
  <c r="C155" i="42" s="1"/>
  <c r="D100" i="42"/>
  <c r="B100" i="42" s="1"/>
  <c r="O69" i="42"/>
  <c r="P124" i="42"/>
  <c r="P121" i="42"/>
  <c r="P125" i="42"/>
  <c r="P129" i="42"/>
  <c r="P122" i="42"/>
  <c r="P126" i="42"/>
  <c r="P130" i="42"/>
  <c r="C46" i="41"/>
  <c r="C47" i="41" s="1"/>
  <c r="C48" i="41" s="1"/>
  <c r="C49" i="41" s="1"/>
  <c r="C50" i="41" s="1"/>
  <c r="C51" i="41" s="1"/>
  <c r="C52" i="41" s="1"/>
  <c r="C53" i="41" s="1"/>
  <c r="C54" i="41" s="1"/>
  <c r="C55" i="41" s="1"/>
  <c r="C56" i="41" s="1"/>
  <c r="C57" i="41" s="1"/>
  <c r="C58" i="41" s="1"/>
  <c r="C59" i="41" s="1"/>
  <c r="C60" i="41" s="1"/>
  <c r="C61" i="41" s="1"/>
  <c r="C62" i="41" s="1"/>
  <c r="C63" i="41" s="1"/>
  <c r="C64" i="41" s="1"/>
  <c r="C65" i="41" s="1"/>
  <c r="C66" i="41" s="1"/>
  <c r="C67" i="41" s="1"/>
  <c r="C68" i="41" s="1"/>
  <c r="C69" i="41" s="1"/>
  <c r="C70" i="41" s="1"/>
  <c r="C71" i="41" s="1"/>
  <c r="C72" i="41" s="1"/>
  <c r="O65" i="40"/>
  <c r="O45" i="41"/>
  <c r="O61" i="41"/>
  <c r="O41" i="41"/>
  <c r="O49" i="41"/>
  <c r="O65" i="41"/>
  <c r="C100" i="41"/>
  <c r="O68" i="40"/>
  <c r="O72" i="40"/>
  <c r="P112" i="40"/>
  <c r="P116" i="40"/>
  <c r="O23" i="40"/>
  <c r="O29" i="40"/>
  <c r="O33" i="40"/>
  <c r="O55" i="40"/>
  <c r="O57" i="40"/>
  <c r="P119" i="40"/>
  <c r="O24" i="40"/>
  <c r="O35" i="40"/>
  <c r="O37" i="40"/>
  <c r="O41" i="40"/>
  <c r="O45" i="40"/>
  <c r="O49" i="40"/>
  <c r="P103" i="40"/>
  <c r="P118" i="40"/>
  <c r="O52" i="40"/>
  <c r="O61" i="40"/>
  <c r="P104" i="40"/>
  <c r="P106" i="40"/>
  <c r="P108" i="40"/>
  <c r="O47" i="40"/>
  <c r="P110" i="40"/>
  <c r="P113" i="40"/>
  <c r="P115" i="40"/>
  <c r="P122" i="40"/>
  <c r="P126" i="40"/>
  <c r="P128" i="40"/>
  <c r="O32" i="40"/>
  <c r="O42" i="40"/>
  <c r="O64" i="40"/>
  <c r="O39" i="40"/>
  <c r="O56" i="40"/>
  <c r="O66" i="40"/>
  <c r="O71" i="40"/>
  <c r="P105" i="40"/>
  <c r="P117" i="40"/>
  <c r="O27" i="40"/>
  <c r="O19" i="40"/>
  <c r="O34" i="40"/>
  <c r="O17" i="40"/>
  <c r="O26" i="40"/>
  <c r="O31" i="40"/>
  <c r="O48" i="40"/>
  <c r="O58" i="40"/>
  <c r="O63" i="40"/>
  <c r="O73" i="40"/>
  <c r="P102" i="40"/>
  <c r="P109" i="40"/>
  <c r="P114" i="40"/>
  <c r="C46" i="40"/>
  <c r="C47" i="40" s="1"/>
  <c r="C48" i="40" s="1"/>
  <c r="C49" i="40" s="1"/>
  <c r="C50" i="40" s="1"/>
  <c r="C51" i="40" s="1"/>
  <c r="C52" i="40" s="1"/>
  <c r="C53" i="40" s="1"/>
  <c r="C54" i="40" s="1"/>
  <c r="C55" i="40" s="1"/>
  <c r="C56" i="40" s="1"/>
  <c r="C57" i="40" s="1"/>
  <c r="C58" i="40" s="1"/>
  <c r="C59" i="40" s="1"/>
  <c r="C60" i="40" s="1"/>
  <c r="C61" i="40" s="1"/>
  <c r="C62" i="40" s="1"/>
  <c r="C63" i="40" s="1"/>
  <c r="C64" i="40" s="1"/>
  <c r="C65" i="40" s="1"/>
  <c r="C66" i="40" s="1"/>
  <c r="C67" i="40" s="1"/>
  <c r="C68" i="40" s="1"/>
  <c r="C69" i="40" s="1"/>
  <c r="C70" i="40" s="1"/>
  <c r="C71" i="40" s="1"/>
  <c r="C72" i="40" s="1"/>
  <c r="O22" i="40"/>
  <c r="O46" i="40"/>
  <c r="O38" i="40"/>
  <c r="O18" i="40"/>
  <c r="O30" i="40"/>
  <c r="O43" i="40"/>
  <c r="O51" i="40"/>
  <c r="O54" i="40"/>
  <c r="O59" i="40"/>
  <c r="O62" i="40"/>
  <c r="O67" i="40"/>
  <c r="O70" i="40"/>
  <c r="P107" i="40"/>
  <c r="P127" i="40"/>
  <c r="B100" i="40"/>
  <c r="C101" i="40"/>
  <c r="C102" i="40" s="1"/>
  <c r="C103" i="40" s="1"/>
  <c r="C104" i="40" s="1"/>
  <c r="C105" i="40" s="1"/>
  <c r="C106" i="40" s="1"/>
  <c r="C107" i="40" s="1"/>
  <c r="C108" i="40" s="1"/>
  <c r="C109" i="40" s="1"/>
  <c r="C110" i="40" s="1"/>
  <c r="C111" i="40" s="1"/>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C134" i="40" s="1"/>
  <c r="C135" i="40" s="1"/>
  <c r="C136" i="40" s="1"/>
  <c r="C137" i="40" s="1"/>
  <c r="C138" i="40" s="1"/>
  <c r="C139" i="40" s="1"/>
  <c r="C140" i="40" s="1"/>
  <c r="C141" i="40" s="1"/>
  <c r="C142" i="40" s="1"/>
  <c r="C143" i="40" s="1"/>
  <c r="C144" i="40" s="1"/>
  <c r="C145" i="40" s="1"/>
  <c r="C146" i="40" s="1"/>
  <c r="C147" i="40" s="1"/>
  <c r="C148" i="40" s="1"/>
  <c r="C149" i="40" s="1"/>
  <c r="C150" i="40" s="1"/>
  <c r="C151" i="40" s="1"/>
  <c r="C152" i="40" s="1"/>
  <c r="C153" i="40" s="1"/>
  <c r="C154" i="40" s="1"/>
  <c r="C155" i="40" s="1"/>
  <c r="P123" i="40"/>
  <c r="P131" i="40"/>
  <c r="P120" i="40"/>
  <c r="P124" i="40"/>
  <c r="P130" i="40"/>
  <c r="P121" i="40"/>
  <c r="P125" i="40"/>
  <c r="P129" i="40"/>
  <c r="D18" i="42" l="1"/>
  <c r="E18" i="42" s="1"/>
  <c r="C101" i="41"/>
  <c r="C102" i="41" s="1"/>
  <c r="C103" i="41" s="1"/>
  <c r="C104" i="41" s="1"/>
  <c r="C105" i="41" s="1"/>
  <c r="C106" i="41" s="1"/>
  <c r="C107" i="41" s="1"/>
  <c r="C108" i="41" s="1"/>
  <c r="C109" i="41" s="1"/>
  <c r="C110" i="41" s="1"/>
  <c r="C111" i="41" s="1"/>
  <c r="C112" i="41" s="1"/>
  <c r="C113" i="41" s="1"/>
  <c r="C114" i="41" s="1"/>
  <c r="C115" i="41" s="1"/>
  <c r="C116" i="41" s="1"/>
  <c r="C117" i="41" s="1"/>
  <c r="C118" i="41" s="1"/>
  <c r="C119" i="41" s="1"/>
  <c r="C120" i="41" s="1"/>
  <c r="C121" i="41" s="1"/>
  <c r="C122" i="41" s="1"/>
  <c r="C123" i="41" s="1"/>
  <c r="C124" i="41" s="1"/>
  <c r="C125" i="41" s="1"/>
  <c r="C126" i="41" s="1"/>
  <c r="C127" i="41" s="1"/>
  <c r="C128" i="41" s="1"/>
  <c r="C129" i="41" s="1"/>
  <c r="C130" i="41" s="1"/>
  <c r="C131" i="41" s="1"/>
  <c r="C132" i="41" s="1"/>
  <c r="C133" i="41" s="1"/>
  <c r="C134" i="41" s="1"/>
  <c r="C135" i="41" s="1"/>
  <c r="C136" i="41" s="1"/>
  <c r="C137" i="41" s="1"/>
  <c r="C138" i="41" s="1"/>
  <c r="C139" i="41" s="1"/>
  <c r="C140" i="41" s="1"/>
  <c r="C141" i="41" s="1"/>
  <c r="C142" i="41" s="1"/>
  <c r="C143" i="41" s="1"/>
  <c r="C144" i="41" s="1"/>
  <c r="C145" i="41" s="1"/>
  <c r="C146" i="41" s="1"/>
  <c r="C147" i="41" s="1"/>
  <c r="C148" i="41" s="1"/>
  <c r="C149" i="41" s="1"/>
  <c r="C150" i="41" s="1"/>
  <c r="C151" i="41" s="1"/>
  <c r="C152" i="41" s="1"/>
  <c r="C153" i="41" s="1"/>
  <c r="C154" i="41" s="1"/>
  <c r="C155" i="41" s="1"/>
  <c r="B100" i="41"/>
  <c r="D101" i="42"/>
  <c r="E101" i="42" s="1"/>
  <c r="G100" i="42"/>
  <c r="N101" i="27"/>
  <c r="L101" i="27"/>
  <c r="M101" i="27" s="1"/>
  <c r="B101" i="42" l="1"/>
  <c r="F101" i="42"/>
  <c r="F18" i="42"/>
  <c r="B18" i="42"/>
  <c r="N102" i="37"/>
  <c r="L102" i="37"/>
  <c r="M102" i="37" s="1"/>
  <c r="N102" i="38"/>
  <c r="L102" i="38"/>
  <c r="M102" i="38" s="1"/>
  <c r="N103" i="35"/>
  <c r="L103" i="35"/>
  <c r="M103" i="35" s="1"/>
  <c r="N103" i="34"/>
  <c r="L103" i="34"/>
  <c r="M103" i="34" s="1"/>
  <c r="N103" i="31"/>
  <c r="L103" i="31"/>
  <c r="M103" i="31" s="1"/>
  <c r="N104" i="29"/>
  <c r="L104" i="29"/>
  <c r="M104" i="29" s="1"/>
  <c r="N106" i="27"/>
  <c r="L106" i="27"/>
  <c r="M106" i="27" s="1"/>
  <c r="N106" i="26"/>
  <c r="L106" i="26"/>
  <c r="M106" i="26" s="1"/>
  <c r="N107" i="24"/>
  <c r="L107" i="24"/>
  <c r="M107" i="24" s="1"/>
  <c r="N105" i="25"/>
  <c r="L105" i="25"/>
  <c r="M105" i="25" s="1"/>
  <c r="N106" i="23"/>
  <c r="L106" i="23"/>
  <c r="M106" i="23" s="1"/>
  <c r="N106" i="22"/>
  <c r="L106" i="22"/>
  <c r="M106" i="22" s="1"/>
  <c r="N107" i="21"/>
  <c r="L107" i="21"/>
  <c r="M107" i="21" s="1"/>
  <c r="N109" i="19"/>
  <c r="L109" i="19"/>
  <c r="M109" i="19" s="1"/>
  <c r="N109" i="18"/>
  <c r="L109" i="18"/>
  <c r="M109" i="18" s="1"/>
  <c r="N110" i="4"/>
  <c r="L110" i="4"/>
  <c r="M110" i="4" s="1"/>
  <c r="N110" i="3"/>
  <c r="L110" i="3"/>
  <c r="M110" i="3" s="1"/>
  <c r="M18" i="39"/>
  <c r="K18" i="39"/>
  <c r="L18" i="39" s="1"/>
  <c r="M20" i="37"/>
  <c r="K20" i="37"/>
  <c r="L20" i="37" s="1"/>
  <c r="M20" i="38"/>
  <c r="K20" i="38"/>
  <c r="L20" i="38" s="1"/>
  <c r="M21" i="35"/>
  <c r="K21" i="35"/>
  <c r="L21" i="35" s="1"/>
  <c r="M21" i="34"/>
  <c r="K21" i="34"/>
  <c r="L21" i="34" s="1"/>
  <c r="M21" i="31"/>
  <c r="K21" i="31"/>
  <c r="L21" i="31" s="1"/>
  <c r="M22" i="29"/>
  <c r="K22" i="29"/>
  <c r="L22" i="29" s="1"/>
  <c r="M24" i="27"/>
  <c r="K24" i="27"/>
  <c r="L24" i="27" s="1"/>
  <c r="M24" i="26"/>
  <c r="K24" i="26"/>
  <c r="L24" i="26" s="1"/>
  <c r="M25" i="24"/>
  <c r="K25" i="24"/>
  <c r="L25" i="24" s="1"/>
  <c r="M23" i="25"/>
  <c r="K23" i="25"/>
  <c r="L23" i="25" s="1"/>
  <c r="M24" i="23"/>
  <c r="K24" i="23"/>
  <c r="L24" i="23" s="1"/>
  <c r="M24" i="22"/>
  <c r="K24" i="22"/>
  <c r="L24" i="22" s="1"/>
  <c r="M25" i="21"/>
  <c r="K25" i="21"/>
  <c r="L25" i="21" s="1"/>
  <c r="M27" i="19"/>
  <c r="K27" i="19"/>
  <c r="L27" i="19" s="1"/>
  <c r="M27" i="18"/>
  <c r="K27" i="18"/>
  <c r="L27" i="18" s="1"/>
  <c r="M28" i="4"/>
  <c r="K28" i="4"/>
  <c r="L28" i="4" s="1"/>
  <c r="M28" i="3"/>
  <c r="K28" i="3"/>
  <c r="L28" i="3" s="1"/>
  <c r="D19" i="42" l="1"/>
  <c r="E19" i="42" s="1"/>
  <c r="D102" i="42"/>
  <c r="G101" i="42"/>
  <c r="B102" i="42" l="1"/>
  <c r="E102" i="42"/>
  <c r="F102" i="42" s="1"/>
  <c r="B19" i="42"/>
  <c r="F19" i="42"/>
  <c r="T14" i="17"/>
  <c r="D103" i="42" l="1"/>
  <c r="E103" i="42" s="1"/>
  <c r="G102" i="42"/>
  <c r="D20" i="42"/>
  <c r="E20" i="42" s="1"/>
  <c r="B103" i="42" l="1"/>
  <c r="F103" i="42"/>
  <c r="F20" i="42"/>
  <c r="B20" i="42"/>
  <c r="N101" i="38"/>
  <c r="L101" i="38"/>
  <c r="M101" i="38" s="1"/>
  <c r="M19" i="38"/>
  <c r="K19" i="38"/>
  <c r="L19" i="38" s="1"/>
  <c r="M19" i="37"/>
  <c r="K19" i="37"/>
  <c r="L19" i="37" s="1"/>
  <c r="M18" i="38"/>
  <c r="K18" i="38"/>
  <c r="L18" i="38" s="1"/>
  <c r="M20" i="31"/>
  <c r="K20" i="31"/>
  <c r="L20" i="31" s="1"/>
  <c r="M21" i="29"/>
  <c r="K21" i="29"/>
  <c r="L21" i="29" s="1"/>
  <c r="L23" i="28"/>
  <c r="L24" i="28"/>
  <c r="M22" i="28"/>
  <c r="K22" i="28"/>
  <c r="L22" i="28" s="1"/>
  <c r="M24" i="24"/>
  <c r="K24" i="24"/>
  <c r="L24" i="24" s="1"/>
  <c r="M22" i="25"/>
  <c r="K22" i="25"/>
  <c r="L22" i="25" s="1"/>
  <c r="M23" i="23"/>
  <c r="K23" i="23"/>
  <c r="L23" i="23" s="1"/>
  <c r="M23" i="22"/>
  <c r="K23" i="22"/>
  <c r="L23" i="22" s="1"/>
  <c r="M24" i="21"/>
  <c r="K24" i="21"/>
  <c r="L24" i="21" s="1"/>
  <c r="M26" i="19"/>
  <c r="K26" i="19"/>
  <c r="L26" i="19" s="1"/>
  <c r="M26" i="18"/>
  <c r="K26" i="18"/>
  <c r="L26" i="18" s="1"/>
  <c r="O110" i="4"/>
  <c r="D21" i="42" l="1"/>
  <c r="E21" i="42" s="1"/>
  <c r="D104" i="42"/>
  <c r="G103" i="42"/>
  <c r="I17" i="39"/>
  <c r="B104" i="42" l="1"/>
  <c r="E104" i="42"/>
  <c r="F104" i="42" s="1"/>
  <c r="B21" i="42"/>
  <c r="F21" i="42"/>
  <c r="N101" i="37"/>
  <c r="L101" i="37"/>
  <c r="M101" i="37" s="1"/>
  <c r="N102" i="35"/>
  <c r="L102" i="35"/>
  <c r="M102" i="35" s="1"/>
  <c r="N102" i="34"/>
  <c r="L102" i="34"/>
  <c r="M102" i="34" s="1"/>
  <c r="N102" i="31"/>
  <c r="L102" i="31"/>
  <c r="M102" i="31" s="1"/>
  <c r="N103" i="29"/>
  <c r="O103" i="29" s="1"/>
  <c r="L103" i="29"/>
  <c r="M103" i="29" s="1"/>
  <c r="N102" i="29"/>
  <c r="O102" i="29" s="1"/>
  <c r="L102" i="29"/>
  <c r="M102" i="29" s="1"/>
  <c r="N106" i="28"/>
  <c r="L106" i="28"/>
  <c r="M106" i="28" s="1"/>
  <c r="D105" i="42" l="1"/>
  <c r="E105" i="42" s="1"/>
  <c r="G104" i="42"/>
  <c r="D22" i="42"/>
  <c r="E22" i="42" s="1"/>
  <c r="P102" i="29"/>
  <c r="P103" i="29"/>
  <c r="N105" i="26"/>
  <c r="L105" i="26"/>
  <c r="M105" i="26" s="1"/>
  <c r="N106" i="24"/>
  <c r="O106" i="24" s="1"/>
  <c r="L106" i="24"/>
  <c r="M106" i="24" s="1"/>
  <c r="N104" i="25"/>
  <c r="L104" i="25"/>
  <c r="M104" i="25" s="1"/>
  <c r="N105" i="23"/>
  <c r="O105" i="23" s="1"/>
  <c r="L105" i="23"/>
  <c r="M105" i="23" s="1"/>
  <c r="N105" i="22"/>
  <c r="O105" i="22" s="1"/>
  <c r="L105" i="22"/>
  <c r="M105" i="22" s="1"/>
  <c r="N106" i="21"/>
  <c r="L106" i="21"/>
  <c r="M106" i="21" s="1"/>
  <c r="N108" i="19"/>
  <c r="L108" i="19"/>
  <c r="M108" i="19" s="1"/>
  <c r="N108" i="18"/>
  <c r="L108" i="18"/>
  <c r="M108" i="18" s="1"/>
  <c r="N109" i="4"/>
  <c r="O109" i="4" s="1"/>
  <c r="L109" i="4"/>
  <c r="M109" i="4" s="1"/>
  <c r="N109" i="3"/>
  <c r="L109" i="3"/>
  <c r="M109" i="3" s="1"/>
  <c r="B105" i="42" l="1"/>
  <c r="F105" i="42"/>
  <c r="F22" i="42"/>
  <c r="B22" i="42"/>
  <c r="P155" i="39"/>
  <c r="O155" i="39"/>
  <c r="M155" i="39"/>
  <c r="J155" i="39"/>
  <c r="P154" i="39"/>
  <c r="O154" i="39"/>
  <c r="M154" i="39"/>
  <c r="J154" i="39"/>
  <c r="P153" i="39"/>
  <c r="O153" i="39"/>
  <c r="M153" i="39"/>
  <c r="J153" i="39"/>
  <c r="P152" i="39"/>
  <c r="O152" i="39"/>
  <c r="M152" i="39"/>
  <c r="J152" i="39"/>
  <c r="P151" i="39"/>
  <c r="O151" i="39"/>
  <c r="M151" i="39"/>
  <c r="J151" i="39"/>
  <c r="P150" i="39"/>
  <c r="O150" i="39"/>
  <c r="M150" i="39"/>
  <c r="J150" i="39"/>
  <c r="P149" i="39"/>
  <c r="O149" i="39"/>
  <c r="M149" i="39"/>
  <c r="J149" i="39"/>
  <c r="P148" i="39"/>
  <c r="O148" i="39"/>
  <c r="M148" i="39"/>
  <c r="J148" i="39"/>
  <c r="P147" i="39"/>
  <c r="O147" i="39"/>
  <c r="M147" i="39"/>
  <c r="J147" i="39"/>
  <c r="P146" i="39"/>
  <c r="O146" i="39"/>
  <c r="M146" i="39"/>
  <c r="J146" i="39"/>
  <c r="P145" i="39"/>
  <c r="O145" i="39"/>
  <c r="M145" i="39"/>
  <c r="J145" i="39"/>
  <c r="P144" i="39"/>
  <c r="O144" i="39"/>
  <c r="M144" i="39"/>
  <c r="J144" i="39"/>
  <c r="P143" i="39"/>
  <c r="O143" i="39"/>
  <c r="M143" i="39"/>
  <c r="J143" i="39"/>
  <c r="P142" i="39"/>
  <c r="O142" i="39"/>
  <c r="M142" i="39"/>
  <c r="J142" i="39"/>
  <c r="P141" i="39"/>
  <c r="O141" i="39"/>
  <c r="M141" i="39"/>
  <c r="J141" i="39"/>
  <c r="P140" i="39"/>
  <c r="O140" i="39"/>
  <c r="M140" i="39"/>
  <c r="J140" i="39"/>
  <c r="P139" i="39"/>
  <c r="O139" i="39"/>
  <c r="M139" i="39"/>
  <c r="J139" i="39"/>
  <c r="P138" i="39"/>
  <c r="O138" i="39"/>
  <c r="M138" i="39"/>
  <c r="J138" i="39"/>
  <c r="P137" i="39"/>
  <c r="O137" i="39"/>
  <c r="M137" i="39"/>
  <c r="J137" i="39"/>
  <c r="P136" i="39"/>
  <c r="O136" i="39"/>
  <c r="M136" i="39"/>
  <c r="J136" i="39"/>
  <c r="P135" i="39"/>
  <c r="O135" i="39"/>
  <c r="M135" i="39"/>
  <c r="J135" i="39"/>
  <c r="P134" i="39"/>
  <c r="O134" i="39"/>
  <c r="M134" i="39"/>
  <c r="J134" i="39"/>
  <c r="P133" i="39"/>
  <c r="O133" i="39"/>
  <c r="M133" i="39"/>
  <c r="J133" i="39"/>
  <c r="P132" i="39"/>
  <c r="O132" i="39"/>
  <c r="M132" i="39"/>
  <c r="J132" i="39"/>
  <c r="O131" i="39"/>
  <c r="M131" i="39"/>
  <c r="O130" i="39"/>
  <c r="M130" i="39"/>
  <c r="O129" i="39"/>
  <c r="M129" i="39"/>
  <c r="O128" i="39"/>
  <c r="M128" i="39"/>
  <c r="O127" i="39"/>
  <c r="M127" i="39"/>
  <c r="O126" i="39"/>
  <c r="M126" i="39"/>
  <c r="O125" i="39"/>
  <c r="M125" i="39"/>
  <c r="O124" i="39"/>
  <c r="M124" i="39"/>
  <c r="O123" i="39"/>
  <c r="M123" i="39"/>
  <c r="O122" i="39"/>
  <c r="M122" i="39"/>
  <c r="O121" i="39"/>
  <c r="M121" i="39"/>
  <c r="O120" i="39"/>
  <c r="M120" i="39"/>
  <c r="O119" i="39"/>
  <c r="M119" i="39"/>
  <c r="O118" i="39"/>
  <c r="M118" i="39"/>
  <c r="O117" i="39"/>
  <c r="M117" i="39"/>
  <c r="O116" i="39"/>
  <c r="M116" i="39"/>
  <c r="O115" i="39"/>
  <c r="M115" i="39"/>
  <c r="O114" i="39"/>
  <c r="M114" i="39"/>
  <c r="O113" i="39"/>
  <c r="M113" i="39"/>
  <c r="O112" i="39"/>
  <c r="M112" i="39"/>
  <c r="O111" i="39"/>
  <c r="M111" i="39"/>
  <c r="O110" i="39"/>
  <c r="M110" i="39"/>
  <c r="O109" i="39"/>
  <c r="M109" i="39"/>
  <c r="O108" i="39"/>
  <c r="M108" i="39"/>
  <c r="O107" i="39"/>
  <c r="M107" i="39"/>
  <c r="O106" i="39"/>
  <c r="M106" i="39"/>
  <c r="O105" i="39"/>
  <c r="M105" i="39"/>
  <c r="O104" i="39"/>
  <c r="M104" i="39"/>
  <c r="O103" i="39"/>
  <c r="M103" i="39"/>
  <c r="O101" i="39"/>
  <c r="D97" i="39"/>
  <c r="D95" i="39"/>
  <c r="L94" i="39"/>
  <c r="J94" i="39"/>
  <c r="D94" i="39"/>
  <c r="J93" i="39"/>
  <c r="L87" i="39" s="1"/>
  <c r="D92" i="39"/>
  <c r="D91" i="39"/>
  <c r="D90" i="39"/>
  <c r="N73" i="39"/>
  <c r="L73" i="39"/>
  <c r="N72" i="39"/>
  <c r="L72" i="39"/>
  <c r="N71" i="39"/>
  <c r="L71" i="39"/>
  <c r="N70" i="39"/>
  <c r="L70" i="39"/>
  <c r="N69" i="39"/>
  <c r="L69" i="39"/>
  <c r="N68" i="39"/>
  <c r="L68" i="39"/>
  <c r="N67" i="39"/>
  <c r="L67" i="39"/>
  <c r="N66" i="39"/>
  <c r="L66" i="39"/>
  <c r="N65" i="39"/>
  <c r="L65" i="39"/>
  <c r="N64" i="39"/>
  <c r="L64" i="39"/>
  <c r="N63" i="39"/>
  <c r="L63" i="39"/>
  <c r="N62" i="39"/>
  <c r="L62" i="39"/>
  <c r="N61" i="39"/>
  <c r="L61" i="39"/>
  <c r="N60" i="39"/>
  <c r="L60" i="39"/>
  <c r="N59" i="39"/>
  <c r="L59" i="39"/>
  <c r="N58" i="39"/>
  <c r="L58" i="39"/>
  <c r="N57" i="39"/>
  <c r="L57" i="39"/>
  <c r="N56" i="39"/>
  <c r="L56" i="39"/>
  <c r="N55" i="39"/>
  <c r="L55" i="39"/>
  <c r="N54" i="39"/>
  <c r="L54" i="39"/>
  <c r="N53" i="39"/>
  <c r="L53" i="39"/>
  <c r="N52" i="39"/>
  <c r="L52" i="39"/>
  <c r="N51" i="39"/>
  <c r="L51" i="39"/>
  <c r="N50" i="39"/>
  <c r="L50" i="39"/>
  <c r="N49" i="39"/>
  <c r="L49" i="39"/>
  <c r="N48" i="39"/>
  <c r="L48" i="39"/>
  <c r="N47" i="39"/>
  <c r="L47" i="39"/>
  <c r="N46" i="39"/>
  <c r="L46" i="39"/>
  <c r="N45" i="39"/>
  <c r="L45" i="39"/>
  <c r="N44" i="39"/>
  <c r="L44" i="39"/>
  <c r="N43" i="39"/>
  <c r="L43" i="39"/>
  <c r="N42" i="39"/>
  <c r="L42" i="39"/>
  <c r="N41" i="39"/>
  <c r="L41" i="39"/>
  <c r="N40" i="39"/>
  <c r="L40" i="39"/>
  <c r="N39" i="39"/>
  <c r="L39" i="39"/>
  <c r="N38" i="39"/>
  <c r="L38" i="39"/>
  <c r="N37" i="39"/>
  <c r="L37" i="39"/>
  <c r="N36" i="39"/>
  <c r="L36" i="39"/>
  <c r="N35" i="39"/>
  <c r="L35" i="39"/>
  <c r="N34" i="39"/>
  <c r="L34" i="39"/>
  <c r="N33" i="39"/>
  <c r="L33" i="39"/>
  <c r="N32" i="39"/>
  <c r="L32" i="39"/>
  <c r="N31" i="39"/>
  <c r="L31" i="39"/>
  <c r="N30" i="39"/>
  <c r="L30" i="39"/>
  <c r="N29" i="39"/>
  <c r="L29" i="39"/>
  <c r="N28" i="39"/>
  <c r="L28" i="39"/>
  <c r="N27" i="39"/>
  <c r="L27" i="39"/>
  <c r="N26" i="39"/>
  <c r="L26" i="39"/>
  <c r="N25" i="39"/>
  <c r="L25" i="39"/>
  <c r="N24" i="39"/>
  <c r="L24" i="39"/>
  <c r="N23" i="39"/>
  <c r="L23" i="39"/>
  <c r="N22" i="39"/>
  <c r="L22" i="39"/>
  <c r="N21" i="39"/>
  <c r="L21" i="39"/>
  <c r="N20" i="39"/>
  <c r="N19" i="39"/>
  <c r="N18" i="39"/>
  <c r="B18" i="39"/>
  <c r="M17" i="39"/>
  <c r="N17" i="39" s="1"/>
  <c r="K17" i="39"/>
  <c r="L17" i="39" s="1"/>
  <c r="C17" i="39"/>
  <c r="C18" i="39" s="1"/>
  <c r="C19" i="39" s="1"/>
  <c r="C20" i="39" s="1"/>
  <c r="C21" i="39" s="1"/>
  <c r="C22" i="39" s="1"/>
  <c r="C23" i="39" s="1"/>
  <c r="C24" i="39" s="1"/>
  <c r="C25" i="39" s="1"/>
  <c r="C26" i="39" s="1"/>
  <c r="C27" i="39" s="1"/>
  <c r="C28" i="39" s="1"/>
  <c r="C29" i="39" s="1"/>
  <c r="C30" i="39" s="1"/>
  <c r="C31" i="39" s="1"/>
  <c r="C32" i="39" s="1"/>
  <c r="C33" i="39" s="1"/>
  <c r="C34" i="39" s="1"/>
  <c r="C35" i="39" s="1"/>
  <c r="C36" i="39" s="1"/>
  <c r="C37" i="39" s="1"/>
  <c r="C38" i="39" s="1"/>
  <c r="C39" i="39" s="1"/>
  <c r="C40" i="39" s="1"/>
  <c r="C41" i="39" s="1"/>
  <c r="C42" i="39" s="1"/>
  <c r="C43" i="39" s="1"/>
  <c r="C44" i="39" s="1"/>
  <c r="C45" i="39" s="1"/>
  <c r="B17" i="39"/>
  <c r="K11" i="39"/>
  <c r="I11" i="39"/>
  <c r="I10" i="39"/>
  <c r="P1" i="39"/>
  <c r="P84" i="39" s="1"/>
  <c r="D23" i="42" l="1"/>
  <c r="E23" i="42" s="1"/>
  <c r="D106" i="42"/>
  <c r="E106" i="42" s="1"/>
  <c r="G105" i="42"/>
  <c r="P103" i="39"/>
  <c r="P109" i="39"/>
  <c r="O19" i="39"/>
  <c r="O21" i="39"/>
  <c r="O37" i="39"/>
  <c r="O53" i="39"/>
  <c r="O69" i="39"/>
  <c r="O26" i="39"/>
  <c r="O28" i="39"/>
  <c r="O30" i="39"/>
  <c r="O32" i="39"/>
  <c r="O42" i="39"/>
  <c r="O44" i="39"/>
  <c r="O46" i="39"/>
  <c r="O48" i="39"/>
  <c r="O17" i="39"/>
  <c r="O33" i="39"/>
  <c r="O49" i="39"/>
  <c r="O23" i="39"/>
  <c r="O25" i="39"/>
  <c r="O29" i="39"/>
  <c r="O35" i="39"/>
  <c r="O58" i="39"/>
  <c r="O60" i="39"/>
  <c r="O62" i="39"/>
  <c r="O64" i="39"/>
  <c r="O39" i="39"/>
  <c r="O41" i="39"/>
  <c r="O45" i="39"/>
  <c r="O72" i="39"/>
  <c r="O55" i="39"/>
  <c r="O57" i="39"/>
  <c r="O61" i="39"/>
  <c r="O65" i="39"/>
  <c r="P104" i="39"/>
  <c r="P106" i="39"/>
  <c r="P116" i="39"/>
  <c r="O18" i="39"/>
  <c r="O36" i="39"/>
  <c r="O43" i="39"/>
  <c r="O50" i="39"/>
  <c r="O66" i="39"/>
  <c r="O68" i="39"/>
  <c r="O73" i="39"/>
  <c r="O22" i="39"/>
  <c r="O24" i="39"/>
  <c r="O31" i="39"/>
  <c r="O38" i="39"/>
  <c r="O40" i="39"/>
  <c r="O47" i="39"/>
  <c r="O56" i="39"/>
  <c r="O63" i="39"/>
  <c r="O70" i="39"/>
  <c r="O20" i="39"/>
  <c r="O27" i="39"/>
  <c r="O34" i="39"/>
  <c r="O52" i="39"/>
  <c r="P128" i="39"/>
  <c r="P112" i="39"/>
  <c r="P126" i="39"/>
  <c r="P107" i="39"/>
  <c r="P113" i="39"/>
  <c r="P115" i="39"/>
  <c r="P110" i="39"/>
  <c r="P119" i="39"/>
  <c r="P101" i="39"/>
  <c r="P114" i="39"/>
  <c r="P117" i="39"/>
  <c r="P111" i="39"/>
  <c r="P118" i="39"/>
  <c r="P123" i="39"/>
  <c r="P127" i="39"/>
  <c r="P129" i="39"/>
  <c r="P131" i="39"/>
  <c r="P105" i="39"/>
  <c r="P108" i="39"/>
  <c r="P130" i="39"/>
  <c r="N88" i="39"/>
  <c r="M88" i="39"/>
  <c r="N5" i="39"/>
  <c r="N6" i="39"/>
  <c r="C46" i="39"/>
  <c r="C47" i="39" s="1"/>
  <c r="C48" i="39" s="1"/>
  <c r="C49" i="39" s="1"/>
  <c r="C50" i="39" s="1"/>
  <c r="C51" i="39" s="1"/>
  <c r="C52" i="39" s="1"/>
  <c r="C53" i="39" s="1"/>
  <c r="C54" i="39" s="1"/>
  <c r="C55" i="39" s="1"/>
  <c r="C56" i="39" s="1"/>
  <c r="C57" i="39" s="1"/>
  <c r="C58" i="39" s="1"/>
  <c r="C59" i="39" s="1"/>
  <c r="C60" i="39" s="1"/>
  <c r="C61" i="39" s="1"/>
  <c r="C62" i="39" s="1"/>
  <c r="C63" i="39" s="1"/>
  <c r="C64" i="39" s="1"/>
  <c r="C65" i="39" s="1"/>
  <c r="C66" i="39" s="1"/>
  <c r="C67" i="39" s="1"/>
  <c r="C68" i="39" s="1"/>
  <c r="C69" i="39" s="1"/>
  <c r="C70" i="39" s="1"/>
  <c r="C71" i="39" s="1"/>
  <c r="C72" i="39" s="1"/>
  <c r="O67" i="39"/>
  <c r="O51" i="39"/>
  <c r="O54" i="39"/>
  <c r="O71" i="39"/>
  <c r="O59" i="39"/>
  <c r="C100" i="39"/>
  <c r="C101" i="39" s="1"/>
  <c r="C102" i="39" s="1"/>
  <c r="C103" i="39" s="1"/>
  <c r="C104" i="39" s="1"/>
  <c r="C105" i="39" s="1"/>
  <c r="C106" i="39" s="1"/>
  <c r="C107" i="39" s="1"/>
  <c r="C108" i="39" s="1"/>
  <c r="C109" i="39" s="1"/>
  <c r="C110" i="39" s="1"/>
  <c r="C111" i="39" s="1"/>
  <c r="C112" i="39" s="1"/>
  <c r="C113" i="39" s="1"/>
  <c r="C114" i="39" s="1"/>
  <c r="C115" i="39" s="1"/>
  <c r="C116" i="39" s="1"/>
  <c r="C117" i="39" s="1"/>
  <c r="C118" i="39" s="1"/>
  <c r="C119" i="39" s="1"/>
  <c r="C120" i="39" s="1"/>
  <c r="C121" i="39" s="1"/>
  <c r="C122" i="39" s="1"/>
  <c r="C123" i="39" s="1"/>
  <c r="C124" i="39" s="1"/>
  <c r="C125" i="39" s="1"/>
  <c r="C126" i="39" s="1"/>
  <c r="C127" i="39" s="1"/>
  <c r="B100" i="39"/>
  <c r="P120" i="39"/>
  <c r="P124" i="39"/>
  <c r="P121" i="39"/>
  <c r="P125" i="39"/>
  <c r="P122" i="39"/>
  <c r="F23" i="42" l="1"/>
  <c r="B23" i="42"/>
  <c r="F106" i="42"/>
  <c r="B106" i="42"/>
  <c r="O88" i="39"/>
  <c r="N7" i="39"/>
  <c r="C128" i="39"/>
  <c r="C129" i="39" s="1"/>
  <c r="C130" i="39" s="1"/>
  <c r="C131" i="39" s="1"/>
  <c r="C132" i="39" s="1"/>
  <c r="C133" i="39" s="1"/>
  <c r="C134" i="39" s="1"/>
  <c r="C135" i="39" s="1"/>
  <c r="C136" i="39" s="1"/>
  <c r="C137" i="39" s="1"/>
  <c r="C138" i="39" s="1"/>
  <c r="C139" i="39" s="1"/>
  <c r="C140" i="39" s="1"/>
  <c r="C141" i="39" s="1"/>
  <c r="C142" i="39" s="1"/>
  <c r="C143" i="39" s="1"/>
  <c r="C144" i="39" s="1"/>
  <c r="C145" i="39" s="1"/>
  <c r="C146" i="39" s="1"/>
  <c r="C147" i="39" s="1"/>
  <c r="C148" i="39" s="1"/>
  <c r="C149" i="39" s="1"/>
  <c r="C150" i="39" s="1"/>
  <c r="C151" i="39" s="1"/>
  <c r="C152" i="39" s="1"/>
  <c r="C153" i="39" s="1"/>
  <c r="C154" i="39" s="1"/>
  <c r="C155" i="39" s="1"/>
  <c r="D24" i="42" l="1"/>
  <c r="E24" i="42" s="1"/>
  <c r="D107" i="42"/>
  <c r="G106" i="42"/>
  <c r="O101" i="37"/>
  <c r="O102" i="37"/>
  <c r="B107" i="42" l="1"/>
  <c r="E107" i="42"/>
  <c r="F107" i="42" s="1"/>
  <c r="F24" i="42"/>
  <c r="B24" i="42"/>
  <c r="K26" i="3"/>
  <c r="L26" i="3" s="1"/>
  <c r="M22" i="22"/>
  <c r="N22" i="22" s="1"/>
  <c r="M22" i="23"/>
  <c r="N22" i="23" s="1"/>
  <c r="K23" i="27"/>
  <c r="L23" i="27" s="1"/>
  <c r="M23" i="27"/>
  <c r="N23" i="27" s="1"/>
  <c r="N101" i="35"/>
  <c r="O101" i="35" s="1"/>
  <c r="L101" i="35"/>
  <c r="M101" i="35" s="1"/>
  <c r="N101" i="34"/>
  <c r="O101" i="34" s="1"/>
  <c r="L101" i="34"/>
  <c r="M101" i="34" s="1"/>
  <c r="N101" i="31"/>
  <c r="O101" i="31" s="1"/>
  <c r="L101" i="31"/>
  <c r="M101" i="31" s="1"/>
  <c r="N101" i="29"/>
  <c r="O101" i="29" s="1"/>
  <c r="L101" i="29"/>
  <c r="M101" i="29" s="1"/>
  <c r="N105" i="28"/>
  <c r="O105" i="28" s="1"/>
  <c r="L105" i="28"/>
  <c r="M105" i="28" s="1"/>
  <c r="N105" i="27"/>
  <c r="O105" i="27" s="1"/>
  <c r="L105" i="27"/>
  <c r="M105" i="27" s="1"/>
  <c r="N104" i="26"/>
  <c r="O104" i="26" s="1"/>
  <c r="L104" i="26"/>
  <c r="M104" i="26" s="1"/>
  <c r="N105" i="24"/>
  <c r="O105" i="24" s="1"/>
  <c r="L105" i="24"/>
  <c r="M105" i="24" s="1"/>
  <c r="N103" i="25"/>
  <c r="O103" i="25" s="1"/>
  <c r="L103" i="25"/>
  <c r="M103" i="25" s="1"/>
  <c r="N104" i="23"/>
  <c r="O104" i="23" s="1"/>
  <c r="L104" i="23"/>
  <c r="M104" i="23" s="1"/>
  <c r="N104" i="22"/>
  <c r="O104" i="22" s="1"/>
  <c r="L104" i="22"/>
  <c r="M104" i="22" s="1"/>
  <c r="N105" i="21"/>
  <c r="O105" i="21" s="1"/>
  <c r="L105" i="21"/>
  <c r="M105" i="21" s="1"/>
  <c r="N107" i="19"/>
  <c r="O107" i="19" s="1"/>
  <c r="L107" i="19"/>
  <c r="M107" i="19" s="1"/>
  <c r="N107" i="18"/>
  <c r="O107" i="18" s="1"/>
  <c r="L107" i="18"/>
  <c r="M107" i="18" s="1"/>
  <c r="N108" i="4"/>
  <c r="O108" i="4" s="1"/>
  <c r="L108" i="4"/>
  <c r="M108" i="4" s="1"/>
  <c r="N108" i="3"/>
  <c r="O108" i="3" s="1"/>
  <c r="L108" i="3"/>
  <c r="M108" i="3" s="1"/>
  <c r="D108" i="42" l="1"/>
  <c r="E108" i="42" s="1"/>
  <c r="G107" i="42"/>
  <c r="D25" i="42"/>
  <c r="P108" i="3"/>
  <c r="P104" i="23"/>
  <c r="P101" i="31"/>
  <c r="P104" i="22"/>
  <c r="P104" i="26"/>
  <c r="P105" i="24"/>
  <c r="P105" i="28"/>
  <c r="P101" i="35"/>
  <c r="P107" i="19"/>
  <c r="P103" i="25"/>
  <c r="P101" i="34"/>
  <c r="P105" i="27"/>
  <c r="O23" i="27"/>
  <c r="P105" i="21"/>
  <c r="P101" i="29"/>
  <c r="P102" i="37"/>
  <c r="M26" i="3"/>
  <c r="N26" i="3" s="1"/>
  <c r="O26" i="3" s="1"/>
  <c r="M26" i="4"/>
  <c r="N26" i="4" s="1"/>
  <c r="M25" i="18"/>
  <c r="N25" i="18" s="1"/>
  <c r="M25" i="19"/>
  <c r="N25" i="19" s="1"/>
  <c r="M23" i="21"/>
  <c r="N23" i="21" s="1"/>
  <c r="K22" i="22"/>
  <c r="L22" i="22" s="1"/>
  <c r="O22" i="22" s="1"/>
  <c r="K22" i="23"/>
  <c r="L22" i="23" s="1"/>
  <c r="O22" i="23" s="1"/>
  <c r="M23" i="24"/>
  <c r="N23" i="24" s="1"/>
  <c r="M22" i="26"/>
  <c r="N22" i="26" s="1"/>
  <c r="K22" i="26"/>
  <c r="L22" i="26" s="1"/>
  <c r="M20" i="29"/>
  <c r="N20" i="29" s="1"/>
  <c r="K20" i="29"/>
  <c r="L20" i="29" s="1"/>
  <c r="M19" i="31"/>
  <c r="N19" i="31" s="1"/>
  <c r="K19" i="31"/>
  <c r="L19" i="31" s="1"/>
  <c r="M19" i="34"/>
  <c r="N19" i="34" s="1"/>
  <c r="M19" i="35"/>
  <c r="N19" i="35" s="1"/>
  <c r="M21" i="25"/>
  <c r="N21" i="25" s="1"/>
  <c r="P107" i="18"/>
  <c r="P108" i="4"/>
  <c r="B25" i="42" l="1"/>
  <c r="E25" i="42"/>
  <c r="F25" i="42" s="1"/>
  <c r="F108" i="42"/>
  <c r="B108" i="42"/>
  <c r="O19" i="31"/>
  <c r="O22" i="26"/>
  <c r="K26" i="4"/>
  <c r="L26" i="4" s="1"/>
  <c r="O26" i="4" s="1"/>
  <c r="K25" i="18"/>
  <c r="L25" i="18" s="1"/>
  <c r="O25" i="18" s="1"/>
  <c r="K25" i="19"/>
  <c r="L25" i="19" s="1"/>
  <c r="O25" i="19" s="1"/>
  <c r="K23" i="21"/>
  <c r="L23" i="21" s="1"/>
  <c r="O23" i="21" s="1"/>
  <c r="K23" i="24"/>
  <c r="L23" i="24" s="1"/>
  <c r="O23" i="24" s="1"/>
  <c r="O20" i="29"/>
  <c r="K19" i="34"/>
  <c r="L19" i="34" s="1"/>
  <c r="O19" i="34" s="1"/>
  <c r="K19" i="35"/>
  <c r="L19" i="35" s="1"/>
  <c r="O19" i="35" s="1"/>
  <c r="K21" i="25"/>
  <c r="L21" i="25" s="1"/>
  <c r="O21" i="25" s="1"/>
  <c r="D109" i="42" l="1"/>
  <c r="E109" i="42" s="1"/>
  <c r="G108" i="42"/>
  <c r="D26" i="42"/>
  <c r="E26" i="42" s="1"/>
  <c r="M17" i="38"/>
  <c r="K17" i="38"/>
  <c r="M18" i="37"/>
  <c r="K18" i="37"/>
  <c r="L18" i="37" s="1"/>
  <c r="I48" i="17"/>
  <c r="F26" i="42" l="1"/>
  <c r="B26" i="42"/>
  <c r="F109" i="42"/>
  <c r="B109" i="42"/>
  <c r="F12" i="1"/>
  <c r="D48" i="17"/>
  <c r="D110" i="42" l="1"/>
  <c r="E110" i="42" s="1"/>
  <c r="G109" i="42"/>
  <c r="D27" i="42"/>
  <c r="W36" i="17"/>
  <c r="D36" i="17"/>
  <c r="B27" i="42" l="1"/>
  <c r="E27" i="42"/>
  <c r="F27" i="42" s="1"/>
  <c r="F110" i="42"/>
  <c r="B110" i="42"/>
  <c r="D28" i="42" l="1"/>
  <c r="E28" i="42" s="1"/>
  <c r="D111" i="42"/>
  <c r="E111" i="42" s="1"/>
  <c r="G110" i="42"/>
  <c r="F58" i="2"/>
  <c r="C58" i="2"/>
  <c r="E34" i="2"/>
  <c r="C34" i="2"/>
  <c r="F28" i="42" l="1"/>
  <c r="B28" i="42"/>
  <c r="F111" i="42"/>
  <c r="B111" i="42"/>
  <c r="F81" i="2"/>
  <c r="J95" i="39" s="1"/>
  <c r="J96" i="39" s="1"/>
  <c r="C81" i="2"/>
  <c r="F75" i="2"/>
  <c r="C75" i="2"/>
  <c r="F47" i="2"/>
  <c r="F46" i="2"/>
  <c r="F45" i="2"/>
  <c r="F44" i="2"/>
  <c r="C47" i="2"/>
  <c r="C46" i="2"/>
  <c r="C45" i="2"/>
  <c r="C44" i="2"/>
  <c r="D112" i="42" l="1"/>
  <c r="E112" i="42" s="1"/>
  <c r="G111" i="42"/>
  <c r="D29" i="42"/>
  <c r="E29" i="42" s="1"/>
  <c r="F48" i="2"/>
  <c r="F52" i="2" s="1"/>
  <c r="P155" i="38"/>
  <c r="O155" i="38"/>
  <c r="M155" i="38"/>
  <c r="J155" i="38"/>
  <c r="P154" i="38"/>
  <c r="O154" i="38"/>
  <c r="M154" i="38"/>
  <c r="J154" i="38"/>
  <c r="P153" i="38"/>
  <c r="O153" i="38"/>
  <c r="M153" i="38"/>
  <c r="J153" i="38"/>
  <c r="P152" i="38"/>
  <c r="O152" i="38"/>
  <c r="M152" i="38"/>
  <c r="J152" i="38"/>
  <c r="P151" i="38"/>
  <c r="O151" i="38"/>
  <c r="M151" i="38"/>
  <c r="J151" i="38"/>
  <c r="P150" i="38"/>
  <c r="O150" i="38"/>
  <c r="M150" i="38"/>
  <c r="J150" i="38"/>
  <c r="P149" i="38"/>
  <c r="O149" i="38"/>
  <c r="M149" i="38"/>
  <c r="J149" i="38"/>
  <c r="P148" i="38"/>
  <c r="O148" i="38"/>
  <c r="M148" i="38"/>
  <c r="J148" i="38"/>
  <c r="P147" i="38"/>
  <c r="O147" i="38"/>
  <c r="M147" i="38"/>
  <c r="J147" i="38"/>
  <c r="P146" i="38"/>
  <c r="O146" i="38"/>
  <c r="M146" i="38"/>
  <c r="J146" i="38"/>
  <c r="P145" i="38"/>
  <c r="O145" i="38"/>
  <c r="M145" i="38"/>
  <c r="J145" i="38"/>
  <c r="P144" i="38"/>
  <c r="O144" i="38"/>
  <c r="M144" i="38"/>
  <c r="J144" i="38"/>
  <c r="P143" i="38"/>
  <c r="O143" i="38"/>
  <c r="M143" i="38"/>
  <c r="J143" i="38"/>
  <c r="P142" i="38"/>
  <c r="O142" i="38"/>
  <c r="M142" i="38"/>
  <c r="J142" i="38"/>
  <c r="P141" i="38"/>
  <c r="O141" i="38"/>
  <c r="M141" i="38"/>
  <c r="J141" i="38"/>
  <c r="P140" i="38"/>
  <c r="O140" i="38"/>
  <c r="M140" i="38"/>
  <c r="J140" i="38"/>
  <c r="P139" i="38"/>
  <c r="O139" i="38"/>
  <c r="M139" i="38"/>
  <c r="J139" i="38"/>
  <c r="P138" i="38"/>
  <c r="O138" i="38"/>
  <c r="M138" i="38"/>
  <c r="J138" i="38"/>
  <c r="P137" i="38"/>
  <c r="O137" i="38"/>
  <c r="M137" i="38"/>
  <c r="J137" i="38"/>
  <c r="P136" i="38"/>
  <c r="O136" i="38"/>
  <c r="M136" i="38"/>
  <c r="J136" i="38"/>
  <c r="P135" i="38"/>
  <c r="O135" i="38"/>
  <c r="M135" i="38"/>
  <c r="J135" i="38"/>
  <c r="P134" i="38"/>
  <c r="O134" i="38"/>
  <c r="M134" i="38"/>
  <c r="J134" i="38"/>
  <c r="P133" i="38"/>
  <c r="O133" i="38"/>
  <c r="M133" i="38"/>
  <c r="J133" i="38"/>
  <c r="P132" i="38"/>
  <c r="O132" i="38"/>
  <c r="M132" i="38"/>
  <c r="J132" i="38"/>
  <c r="O131" i="38"/>
  <c r="M131" i="38"/>
  <c r="O130" i="38"/>
  <c r="M130" i="38"/>
  <c r="O129" i="38"/>
  <c r="M129" i="38"/>
  <c r="O128" i="38"/>
  <c r="M128" i="38"/>
  <c r="O127" i="38"/>
  <c r="M127" i="38"/>
  <c r="O126" i="38"/>
  <c r="M126" i="38"/>
  <c r="O125" i="38"/>
  <c r="M125" i="38"/>
  <c r="O124" i="38"/>
  <c r="M124" i="38"/>
  <c r="O123" i="38"/>
  <c r="M123" i="38"/>
  <c r="O122" i="38"/>
  <c r="M122" i="38"/>
  <c r="O121" i="38"/>
  <c r="M121" i="38"/>
  <c r="O120" i="38"/>
  <c r="M120" i="38"/>
  <c r="O119" i="38"/>
  <c r="M119" i="38"/>
  <c r="O118" i="38"/>
  <c r="M118" i="38"/>
  <c r="O117" i="38"/>
  <c r="M117" i="38"/>
  <c r="O116" i="38"/>
  <c r="M116" i="38"/>
  <c r="O115" i="38"/>
  <c r="M115" i="38"/>
  <c r="O114" i="38"/>
  <c r="M114" i="38"/>
  <c r="O113" i="38"/>
  <c r="M113" i="38"/>
  <c r="O112" i="38"/>
  <c r="M112" i="38"/>
  <c r="O111" i="38"/>
  <c r="M111" i="38"/>
  <c r="O110" i="38"/>
  <c r="M110" i="38"/>
  <c r="O109" i="38"/>
  <c r="M109" i="38"/>
  <c r="O108" i="38"/>
  <c r="M108" i="38"/>
  <c r="O107" i="38"/>
  <c r="M107" i="38"/>
  <c r="O106" i="38"/>
  <c r="M106" i="38"/>
  <c r="O105" i="38"/>
  <c r="M105" i="38"/>
  <c r="O103" i="38"/>
  <c r="O102" i="38"/>
  <c r="O101" i="38"/>
  <c r="D97" i="38"/>
  <c r="D95" i="38"/>
  <c r="L94" i="38"/>
  <c r="J94" i="38"/>
  <c r="D94" i="38"/>
  <c r="C100" i="38" s="1"/>
  <c r="D92" i="38"/>
  <c r="D90" i="38"/>
  <c r="N73" i="38"/>
  <c r="L73" i="38"/>
  <c r="N72" i="38"/>
  <c r="L72" i="38"/>
  <c r="N71" i="38"/>
  <c r="L71" i="38"/>
  <c r="N70" i="38"/>
  <c r="L70" i="38"/>
  <c r="N69" i="38"/>
  <c r="L69" i="38"/>
  <c r="N68" i="38"/>
  <c r="L68" i="38"/>
  <c r="N67" i="38"/>
  <c r="L67" i="38"/>
  <c r="N66" i="38"/>
  <c r="L66" i="38"/>
  <c r="N65" i="38"/>
  <c r="L65" i="38"/>
  <c r="N64" i="38"/>
  <c r="L64" i="38"/>
  <c r="N63" i="38"/>
  <c r="L63" i="38"/>
  <c r="N62" i="38"/>
  <c r="L62" i="38"/>
  <c r="N61" i="38"/>
  <c r="L61" i="38"/>
  <c r="N60" i="38"/>
  <c r="L60" i="38"/>
  <c r="N59" i="38"/>
  <c r="L59" i="38"/>
  <c r="N58" i="38"/>
  <c r="L58" i="38"/>
  <c r="N57" i="38"/>
  <c r="L57" i="38"/>
  <c r="N56" i="38"/>
  <c r="L56" i="38"/>
  <c r="N55" i="38"/>
  <c r="L55" i="38"/>
  <c r="N54" i="38"/>
  <c r="L54" i="38"/>
  <c r="N53" i="38"/>
  <c r="L53" i="38"/>
  <c r="N52" i="38"/>
  <c r="L52" i="38"/>
  <c r="N51" i="38"/>
  <c r="L51" i="38"/>
  <c r="N50" i="38"/>
  <c r="L50" i="38"/>
  <c r="N49" i="38"/>
  <c r="L49" i="38"/>
  <c r="N48" i="38"/>
  <c r="L48" i="38"/>
  <c r="N47" i="38"/>
  <c r="L47" i="38"/>
  <c r="N46" i="38"/>
  <c r="L46" i="38"/>
  <c r="N45" i="38"/>
  <c r="L45" i="38"/>
  <c r="N44" i="38"/>
  <c r="L44" i="38"/>
  <c r="N43" i="38"/>
  <c r="L43" i="38"/>
  <c r="N42" i="38"/>
  <c r="L42" i="38"/>
  <c r="N41" i="38"/>
  <c r="L41" i="38"/>
  <c r="N40" i="38"/>
  <c r="L40" i="38"/>
  <c r="N39" i="38"/>
  <c r="L39" i="38"/>
  <c r="N38" i="38"/>
  <c r="L38" i="38"/>
  <c r="N37" i="38"/>
  <c r="L37" i="38"/>
  <c r="N36" i="38"/>
  <c r="L36" i="38"/>
  <c r="N35" i="38"/>
  <c r="L35" i="38"/>
  <c r="N34" i="38"/>
  <c r="L34" i="38"/>
  <c r="N33" i="38"/>
  <c r="L33" i="38"/>
  <c r="N32" i="38"/>
  <c r="L32" i="38"/>
  <c r="N31" i="38"/>
  <c r="L31" i="38"/>
  <c r="N30" i="38"/>
  <c r="L30" i="38"/>
  <c r="N29" i="38"/>
  <c r="L29" i="38"/>
  <c r="N28" i="38"/>
  <c r="L28" i="38"/>
  <c r="N27" i="38"/>
  <c r="L27" i="38"/>
  <c r="N26" i="38"/>
  <c r="L26" i="38"/>
  <c r="N25" i="38"/>
  <c r="L25" i="38"/>
  <c r="N24" i="38"/>
  <c r="L24" i="38"/>
  <c r="N23" i="38"/>
  <c r="L23" i="38"/>
  <c r="N22" i="38"/>
  <c r="N21" i="38"/>
  <c r="N20" i="38"/>
  <c r="N19" i="38"/>
  <c r="N18" i="38"/>
  <c r="N17" i="38"/>
  <c r="L17" i="38"/>
  <c r="C17" i="38"/>
  <c r="C18" i="38" s="1"/>
  <c r="C19" i="38" s="1"/>
  <c r="C20" i="38" s="1"/>
  <c r="C21" i="38" s="1"/>
  <c r="C22" i="38" s="1"/>
  <c r="C23" i="38" s="1"/>
  <c r="C24" i="38" s="1"/>
  <c r="C25" i="38" s="1"/>
  <c r="C26" i="38" s="1"/>
  <c r="C27" i="38" s="1"/>
  <c r="C28" i="38" s="1"/>
  <c r="C29" i="38" s="1"/>
  <c r="C30" i="38" s="1"/>
  <c r="C31" i="38" s="1"/>
  <c r="C32" i="38" s="1"/>
  <c r="C33" i="38" s="1"/>
  <c r="C34" i="38" s="1"/>
  <c r="C35" i="38" s="1"/>
  <c r="C36" i="38" s="1"/>
  <c r="C37" i="38" s="1"/>
  <c r="C38" i="38" s="1"/>
  <c r="C39" i="38" s="1"/>
  <c r="C40" i="38" s="1"/>
  <c r="C41" i="38" s="1"/>
  <c r="C42" i="38" s="1"/>
  <c r="C43" i="38" s="1"/>
  <c r="C44" i="38" s="1"/>
  <c r="C45" i="38" s="1"/>
  <c r="C46" i="38" s="1"/>
  <c r="C47" i="38" s="1"/>
  <c r="C48" i="38" s="1"/>
  <c r="C49" i="38" s="1"/>
  <c r="C50" i="38" s="1"/>
  <c r="C51" i="38" s="1"/>
  <c r="C52" i="38" s="1"/>
  <c r="C53" i="38" s="1"/>
  <c r="C54" i="38" s="1"/>
  <c r="C55" i="38" s="1"/>
  <c r="C56" i="38" s="1"/>
  <c r="C57" i="38" s="1"/>
  <c r="C58" i="38" s="1"/>
  <c r="C59" i="38" s="1"/>
  <c r="C60" i="38" s="1"/>
  <c r="C61" i="38" s="1"/>
  <c r="C62" i="38" s="1"/>
  <c r="C63" i="38" s="1"/>
  <c r="C64" i="38" s="1"/>
  <c r="C65" i="38" s="1"/>
  <c r="C66" i="38" s="1"/>
  <c r="C67" i="38" s="1"/>
  <c r="C68" i="38" s="1"/>
  <c r="C69" i="38" s="1"/>
  <c r="C70" i="38" s="1"/>
  <c r="C71" i="38" s="1"/>
  <c r="C72" i="38" s="1"/>
  <c r="B17" i="38"/>
  <c r="K11" i="38"/>
  <c r="I11" i="38"/>
  <c r="I10" i="38"/>
  <c r="D91" i="38"/>
  <c r="P1" i="38"/>
  <c r="P84" i="38" s="1"/>
  <c r="M17" i="37"/>
  <c r="N17" i="37" s="1"/>
  <c r="K17" i="37"/>
  <c r="L17" i="37" s="1"/>
  <c r="N100" i="35"/>
  <c r="O100" i="35" s="1"/>
  <c r="L100" i="35"/>
  <c r="M100" i="35" s="1"/>
  <c r="M18" i="35"/>
  <c r="N18" i="35" s="1"/>
  <c r="K18" i="35"/>
  <c r="L18" i="35" s="1"/>
  <c r="N100" i="34"/>
  <c r="O100" i="34" s="1"/>
  <c r="L100" i="34"/>
  <c r="M100" i="34" s="1"/>
  <c r="M18" i="34"/>
  <c r="N18" i="34" s="1"/>
  <c r="K18" i="34"/>
  <c r="L18" i="34" s="1"/>
  <c r="N100" i="31"/>
  <c r="O100" i="31" s="1"/>
  <c r="L100" i="31"/>
  <c r="M100" i="31" s="1"/>
  <c r="M18" i="31"/>
  <c r="N18" i="31" s="1"/>
  <c r="K18" i="31"/>
  <c r="L18" i="31" s="1"/>
  <c r="N100" i="29"/>
  <c r="O100" i="29" s="1"/>
  <c r="L100" i="29"/>
  <c r="M100" i="29" s="1"/>
  <c r="M19" i="29"/>
  <c r="N19" i="29" s="1"/>
  <c r="K19" i="29"/>
  <c r="L19" i="29" s="1"/>
  <c r="N104" i="28"/>
  <c r="O104" i="28" s="1"/>
  <c r="L104" i="28"/>
  <c r="M104" i="28" s="1"/>
  <c r="N22" i="28"/>
  <c r="N104" i="27"/>
  <c r="O104" i="27" s="1"/>
  <c r="L104" i="27"/>
  <c r="M104" i="27" s="1"/>
  <c r="M22" i="27"/>
  <c r="N22" i="27" s="1"/>
  <c r="K22" i="27"/>
  <c r="L22" i="27" s="1"/>
  <c r="N103" i="26"/>
  <c r="O103" i="26" s="1"/>
  <c r="L103" i="26"/>
  <c r="M103" i="26" s="1"/>
  <c r="M21" i="26"/>
  <c r="N21" i="26" s="1"/>
  <c r="K21" i="26"/>
  <c r="L21" i="26" s="1"/>
  <c r="N104" i="24"/>
  <c r="O104" i="24" s="1"/>
  <c r="L104" i="24"/>
  <c r="M104" i="24" s="1"/>
  <c r="M22" i="24"/>
  <c r="N22" i="24" s="1"/>
  <c r="K22" i="24"/>
  <c r="L22" i="24" s="1"/>
  <c r="N102" i="25"/>
  <c r="O102" i="25" s="1"/>
  <c r="L102" i="25"/>
  <c r="M102" i="25" s="1"/>
  <c r="M20" i="25"/>
  <c r="N20" i="25" s="1"/>
  <c r="K20" i="25"/>
  <c r="L20" i="25" s="1"/>
  <c r="N103" i="23"/>
  <c r="O103" i="23" s="1"/>
  <c r="L103" i="23"/>
  <c r="M103" i="23" s="1"/>
  <c r="M21" i="23"/>
  <c r="N21" i="23" s="1"/>
  <c r="K21" i="23"/>
  <c r="L21" i="23" s="1"/>
  <c r="N103" i="22"/>
  <c r="O103" i="22" s="1"/>
  <c r="L103" i="22"/>
  <c r="M103" i="22" s="1"/>
  <c r="M21" i="22"/>
  <c r="N21" i="22" s="1"/>
  <c r="K21" i="22"/>
  <c r="L21" i="22" s="1"/>
  <c r="N104" i="21"/>
  <c r="O104" i="21" s="1"/>
  <c r="L104" i="21"/>
  <c r="M104" i="21" s="1"/>
  <c r="M22" i="21"/>
  <c r="N22" i="21" s="1"/>
  <c r="K22" i="21"/>
  <c r="L22" i="21" s="1"/>
  <c r="N106" i="19"/>
  <c r="O106" i="19" s="1"/>
  <c r="L106" i="19"/>
  <c r="M106" i="19" s="1"/>
  <c r="M24" i="19"/>
  <c r="N24" i="19" s="1"/>
  <c r="K24" i="19"/>
  <c r="L24" i="19" s="1"/>
  <c r="N106" i="18"/>
  <c r="O106" i="18" s="1"/>
  <c r="L106" i="18"/>
  <c r="M106" i="18" s="1"/>
  <c r="M24" i="18"/>
  <c r="N24" i="18" s="1"/>
  <c r="K24" i="18"/>
  <c r="L24" i="18" s="1"/>
  <c r="N107" i="4"/>
  <c r="O107" i="4" s="1"/>
  <c r="L107" i="4"/>
  <c r="M107" i="4" s="1"/>
  <c r="M25" i="3"/>
  <c r="N25" i="3" s="1"/>
  <c r="K25" i="3"/>
  <c r="L25" i="3" s="1"/>
  <c r="N107" i="3"/>
  <c r="O107" i="3" s="1"/>
  <c r="L107" i="3"/>
  <c r="M107" i="3" s="1"/>
  <c r="M25" i="4"/>
  <c r="N25" i="4" s="1"/>
  <c r="K25" i="4"/>
  <c r="L25" i="4" s="1"/>
  <c r="M17" i="31"/>
  <c r="N17" i="31" s="1"/>
  <c r="K17" i="31"/>
  <c r="L17" i="31" s="1"/>
  <c r="M17" i="35"/>
  <c r="N17" i="35" s="1"/>
  <c r="K17" i="35"/>
  <c r="L17" i="35" s="1"/>
  <c r="M17" i="34"/>
  <c r="N17" i="34" s="1"/>
  <c r="K17" i="34"/>
  <c r="L17" i="34" s="1"/>
  <c r="C85" i="1"/>
  <c r="F82" i="1"/>
  <c r="C78" i="1"/>
  <c r="F72" i="1"/>
  <c r="C62" i="1"/>
  <c r="F44" i="1"/>
  <c r="C43" i="1"/>
  <c r="F42" i="1"/>
  <c r="C34" i="1"/>
  <c r="E31" i="1"/>
  <c r="C24" i="1"/>
  <c r="D18" i="1"/>
  <c r="I10" i="13"/>
  <c r="F56" i="1"/>
  <c r="C45" i="1"/>
  <c r="C56" i="1"/>
  <c r="C31" i="1"/>
  <c r="D19" i="1"/>
  <c r="C12" i="1"/>
  <c r="W35" i="17"/>
  <c r="D8" i="37"/>
  <c r="D91" i="37" s="1"/>
  <c r="P155" i="37"/>
  <c r="O155" i="37"/>
  <c r="M155" i="37"/>
  <c r="J155" i="37"/>
  <c r="P154" i="37"/>
  <c r="O154" i="37"/>
  <c r="M154" i="37"/>
  <c r="J154" i="37"/>
  <c r="P153" i="37"/>
  <c r="O153" i="37"/>
  <c r="M153" i="37"/>
  <c r="J153" i="37"/>
  <c r="P152" i="37"/>
  <c r="O152" i="37"/>
  <c r="M152" i="37"/>
  <c r="J152" i="37"/>
  <c r="P151" i="37"/>
  <c r="O151" i="37"/>
  <c r="M151" i="37"/>
  <c r="J151" i="37"/>
  <c r="P150" i="37"/>
  <c r="O150" i="37"/>
  <c r="M150" i="37"/>
  <c r="J150" i="37"/>
  <c r="P149" i="37"/>
  <c r="O149" i="37"/>
  <c r="M149" i="37"/>
  <c r="J149" i="37"/>
  <c r="P148" i="37"/>
  <c r="O148" i="37"/>
  <c r="M148" i="37"/>
  <c r="J148" i="37"/>
  <c r="P147" i="37"/>
  <c r="O147" i="37"/>
  <c r="M147" i="37"/>
  <c r="J147" i="37"/>
  <c r="P146" i="37"/>
  <c r="O146" i="37"/>
  <c r="M146" i="37"/>
  <c r="J146" i="37"/>
  <c r="P145" i="37"/>
  <c r="O145" i="37"/>
  <c r="M145" i="37"/>
  <c r="J145" i="37"/>
  <c r="P144" i="37"/>
  <c r="O144" i="37"/>
  <c r="M144" i="37"/>
  <c r="J144" i="37"/>
  <c r="P143" i="37"/>
  <c r="O143" i="37"/>
  <c r="M143" i="37"/>
  <c r="J143" i="37"/>
  <c r="P142" i="37"/>
  <c r="O142" i="37"/>
  <c r="M142" i="37"/>
  <c r="J142" i="37"/>
  <c r="P141" i="37"/>
  <c r="O141" i="37"/>
  <c r="M141" i="37"/>
  <c r="J141" i="37"/>
  <c r="P140" i="37"/>
  <c r="O140" i="37"/>
  <c r="M140" i="37"/>
  <c r="J140" i="37"/>
  <c r="P139" i="37"/>
  <c r="O139" i="37"/>
  <c r="M139" i="37"/>
  <c r="J139" i="37"/>
  <c r="P138" i="37"/>
  <c r="O138" i="37"/>
  <c r="M138" i="37"/>
  <c r="J138" i="37"/>
  <c r="P137" i="37"/>
  <c r="O137" i="37"/>
  <c r="M137" i="37"/>
  <c r="J137" i="37"/>
  <c r="P136" i="37"/>
  <c r="O136" i="37"/>
  <c r="M136" i="37"/>
  <c r="J136" i="37"/>
  <c r="P135" i="37"/>
  <c r="O135" i="37"/>
  <c r="M135" i="37"/>
  <c r="J135" i="37"/>
  <c r="P134" i="37"/>
  <c r="O134" i="37"/>
  <c r="M134" i="37"/>
  <c r="J134" i="37"/>
  <c r="P133" i="37"/>
  <c r="O133" i="37"/>
  <c r="M133" i="37"/>
  <c r="J133" i="37"/>
  <c r="P132" i="37"/>
  <c r="O132" i="37"/>
  <c r="M132" i="37"/>
  <c r="J132" i="37"/>
  <c r="O131" i="37"/>
  <c r="M131" i="37"/>
  <c r="O130" i="37"/>
  <c r="M130" i="37"/>
  <c r="O129" i="37"/>
  <c r="M129" i="37"/>
  <c r="O128" i="37"/>
  <c r="M128" i="37"/>
  <c r="O127" i="37"/>
  <c r="M127" i="37"/>
  <c r="O126" i="37"/>
  <c r="M126" i="37"/>
  <c r="O125" i="37"/>
  <c r="M125" i="37"/>
  <c r="O124" i="37"/>
  <c r="M124" i="37"/>
  <c r="O123" i="37"/>
  <c r="M123" i="37"/>
  <c r="O122" i="37"/>
  <c r="M122" i="37"/>
  <c r="O121" i="37"/>
  <c r="M121" i="37"/>
  <c r="O120" i="37"/>
  <c r="M120" i="37"/>
  <c r="O119" i="37"/>
  <c r="M119" i="37"/>
  <c r="O118" i="37"/>
  <c r="M118" i="37"/>
  <c r="O117" i="37"/>
  <c r="M117" i="37"/>
  <c r="O116" i="37"/>
  <c r="M116" i="37"/>
  <c r="O115" i="37"/>
  <c r="M115" i="37"/>
  <c r="O114" i="37"/>
  <c r="M114" i="37"/>
  <c r="O113" i="37"/>
  <c r="M113" i="37"/>
  <c r="O112" i="37"/>
  <c r="M112" i="37"/>
  <c r="O111" i="37"/>
  <c r="M111" i="37"/>
  <c r="O110" i="37"/>
  <c r="M110" i="37"/>
  <c r="O109" i="37"/>
  <c r="M109" i="37"/>
  <c r="O108" i="37"/>
  <c r="M108" i="37"/>
  <c r="O107" i="37"/>
  <c r="M107" i="37"/>
  <c r="O106" i="37"/>
  <c r="M106" i="37"/>
  <c r="O105" i="37"/>
  <c r="M105" i="37"/>
  <c r="O103" i="37"/>
  <c r="D97" i="37"/>
  <c r="D95" i="37"/>
  <c r="L94" i="37"/>
  <c r="J94" i="37"/>
  <c r="D94" i="37"/>
  <c r="C100" i="37" s="1"/>
  <c r="B100" i="37" s="1"/>
  <c r="D92" i="37"/>
  <c r="D90" i="37"/>
  <c r="N73" i="37"/>
  <c r="L73" i="37"/>
  <c r="N72" i="37"/>
  <c r="L72" i="37"/>
  <c r="N71" i="37"/>
  <c r="L71" i="37"/>
  <c r="N70" i="37"/>
  <c r="L70" i="37"/>
  <c r="N69" i="37"/>
  <c r="L69" i="37"/>
  <c r="N68" i="37"/>
  <c r="L68" i="37"/>
  <c r="N67" i="37"/>
  <c r="L67" i="37"/>
  <c r="N66" i="37"/>
  <c r="L66" i="37"/>
  <c r="N65" i="37"/>
  <c r="L65" i="37"/>
  <c r="N64" i="37"/>
  <c r="L64" i="37"/>
  <c r="N63" i="37"/>
  <c r="L63" i="37"/>
  <c r="N62" i="37"/>
  <c r="L62" i="37"/>
  <c r="N61" i="37"/>
  <c r="L61" i="37"/>
  <c r="N60" i="37"/>
  <c r="L60" i="37"/>
  <c r="N59" i="37"/>
  <c r="L59" i="37"/>
  <c r="N58" i="37"/>
  <c r="L58" i="37"/>
  <c r="N57" i="37"/>
  <c r="L57" i="37"/>
  <c r="N56" i="37"/>
  <c r="L56" i="37"/>
  <c r="N55" i="37"/>
  <c r="L55" i="37"/>
  <c r="N54" i="37"/>
  <c r="L54" i="37"/>
  <c r="N53" i="37"/>
  <c r="L53" i="37"/>
  <c r="N52" i="37"/>
  <c r="L52" i="37"/>
  <c r="N51" i="37"/>
  <c r="L51" i="37"/>
  <c r="N50" i="37"/>
  <c r="L50" i="37"/>
  <c r="N49" i="37"/>
  <c r="L49" i="37"/>
  <c r="N48" i="37"/>
  <c r="L48" i="37"/>
  <c r="N47" i="37"/>
  <c r="L47" i="37"/>
  <c r="N46" i="37"/>
  <c r="L46" i="37"/>
  <c r="N45" i="37"/>
  <c r="L45" i="37"/>
  <c r="N44" i="37"/>
  <c r="L44" i="37"/>
  <c r="N43" i="37"/>
  <c r="L43" i="37"/>
  <c r="N42" i="37"/>
  <c r="L42" i="37"/>
  <c r="N41" i="37"/>
  <c r="L41" i="37"/>
  <c r="N40" i="37"/>
  <c r="L40" i="37"/>
  <c r="N39" i="37"/>
  <c r="L39" i="37"/>
  <c r="N38" i="37"/>
  <c r="L38" i="37"/>
  <c r="N37" i="37"/>
  <c r="L37" i="37"/>
  <c r="N36" i="37"/>
  <c r="L36" i="37"/>
  <c r="N35" i="37"/>
  <c r="L35" i="37"/>
  <c r="N34" i="37"/>
  <c r="L34" i="37"/>
  <c r="N33" i="37"/>
  <c r="L33" i="37"/>
  <c r="N32" i="37"/>
  <c r="L32" i="37"/>
  <c r="N31" i="37"/>
  <c r="L31" i="37"/>
  <c r="N30" i="37"/>
  <c r="L30" i="37"/>
  <c r="N29" i="37"/>
  <c r="L29" i="37"/>
  <c r="N28" i="37"/>
  <c r="L28" i="37"/>
  <c r="N27" i="37"/>
  <c r="L27" i="37"/>
  <c r="N26" i="37"/>
  <c r="L26" i="37"/>
  <c r="N25" i="37"/>
  <c r="L25" i="37"/>
  <c r="N24" i="37"/>
  <c r="L24" i="37"/>
  <c r="N23" i="37"/>
  <c r="L23" i="37"/>
  <c r="N22" i="37"/>
  <c r="N21" i="37"/>
  <c r="N19" i="37"/>
  <c r="N18" i="37"/>
  <c r="C17" i="37"/>
  <c r="C18" i="37" s="1"/>
  <c r="C19" i="37" s="1"/>
  <c r="C20" i="37" s="1"/>
  <c r="C21" i="37" s="1"/>
  <c r="C22" i="37" s="1"/>
  <c r="C23" i="37" s="1"/>
  <c r="C24" i="37" s="1"/>
  <c r="C25" i="37" s="1"/>
  <c r="C26" i="37" s="1"/>
  <c r="C27" i="37" s="1"/>
  <c r="C28" i="37" s="1"/>
  <c r="C29" i="37" s="1"/>
  <c r="C30" i="37" s="1"/>
  <c r="C31" i="37" s="1"/>
  <c r="C32" i="37" s="1"/>
  <c r="C33" i="37" s="1"/>
  <c r="C34" i="37" s="1"/>
  <c r="C35" i="37" s="1"/>
  <c r="C36" i="37" s="1"/>
  <c r="C37" i="37" s="1"/>
  <c r="C38" i="37" s="1"/>
  <c r="C39" i="37" s="1"/>
  <c r="C40" i="37" s="1"/>
  <c r="C41" i="37" s="1"/>
  <c r="C42" i="37" s="1"/>
  <c r="C43" i="37" s="1"/>
  <c r="C44" i="37" s="1"/>
  <c r="C45" i="37" s="1"/>
  <c r="C46" i="37" s="1"/>
  <c r="C47" i="37" s="1"/>
  <c r="C48" i="37" s="1"/>
  <c r="C49" i="37" s="1"/>
  <c r="C50" i="37" s="1"/>
  <c r="C51" i="37" s="1"/>
  <c r="C52" i="37" s="1"/>
  <c r="C53" i="37" s="1"/>
  <c r="C54" i="37" s="1"/>
  <c r="C55" i="37" s="1"/>
  <c r="C56" i="37" s="1"/>
  <c r="C57" i="37" s="1"/>
  <c r="C58" i="37" s="1"/>
  <c r="C59" i="37" s="1"/>
  <c r="C60" i="37" s="1"/>
  <c r="C61" i="37" s="1"/>
  <c r="C62" i="37" s="1"/>
  <c r="C63" i="37" s="1"/>
  <c r="C64" i="37" s="1"/>
  <c r="C65" i="37" s="1"/>
  <c r="C66" i="37" s="1"/>
  <c r="C67" i="37" s="1"/>
  <c r="C68" i="37" s="1"/>
  <c r="C69" i="37" s="1"/>
  <c r="C70" i="37" s="1"/>
  <c r="C71" i="37" s="1"/>
  <c r="C72" i="37" s="1"/>
  <c r="B17" i="37"/>
  <c r="K11" i="37"/>
  <c r="I11" i="37"/>
  <c r="I10" i="37"/>
  <c r="P1" i="37"/>
  <c r="P84" i="37" s="1"/>
  <c r="M18" i="29"/>
  <c r="N18" i="29" s="1"/>
  <c r="K18" i="29"/>
  <c r="L18" i="29" s="1"/>
  <c r="N103" i="28"/>
  <c r="O103" i="28" s="1"/>
  <c r="L103" i="28"/>
  <c r="M103" i="28" s="1"/>
  <c r="M21" i="28"/>
  <c r="N21" i="28" s="1"/>
  <c r="K21" i="28"/>
  <c r="L21" i="28" s="1"/>
  <c r="N103" i="27"/>
  <c r="O103" i="27" s="1"/>
  <c r="L103" i="27"/>
  <c r="M103" i="27" s="1"/>
  <c r="M21" i="27"/>
  <c r="N21" i="27" s="1"/>
  <c r="K21" i="27"/>
  <c r="L21" i="27" s="1"/>
  <c r="N102" i="26"/>
  <c r="O102" i="26" s="1"/>
  <c r="L102" i="26"/>
  <c r="M102" i="26" s="1"/>
  <c r="M20" i="26"/>
  <c r="N20" i="26" s="1"/>
  <c r="K20" i="26"/>
  <c r="L20" i="26" s="1"/>
  <c r="N103" i="24"/>
  <c r="O103" i="24" s="1"/>
  <c r="L103" i="24"/>
  <c r="M103" i="24" s="1"/>
  <c r="M21" i="24"/>
  <c r="N21" i="24" s="1"/>
  <c r="K21" i="24"/>
  <c r="L21" i="24" s="1"/>
  <c r="N101" i="25"/>
  <c r="O101" i="25" s="1"/>
  <c r="L101" i="25"/>
  <c r="M101" i="25" s="1"/>
  <c r="M19" i="25"/>
  <c r="N19" i="25" s="1"/>
  <c r="K19" i="25"/>
  <c r="L19" i="25" s="1"/>
  <c r="N102" i="23"/>
  <c r="O102" i="23" s="1"/>
  <c r="L102" i="23"/>
  <c r="M102" i="23" s="1"/>
  <c r="M20" i="23"/>
  <c r="N20" i="23" s="1"/>
  <c r="K20" i="23"/>
  <c r="L20" i="23" s="1"/>
  <c r="N102" i="22"/>
  <c r="O102" i="22" s="1"/>
  <c r="L102" i="22"/>
  <c r="M102" i="22" s="1"/>
  <c r="M20" i="22"/>
  <c r="N20" i="22" s="1"/>
  <c r="K20" i="22"/>
  <c r="L20" i="22" s="1"/>
  <c r="I20" i="22"/>
  <c r="N103" i="21"/>
  <c r="O103" i="21" s="1"/>
  <c r="L103" i="21"/>
  <c r="M103" i="21" s="1"/>
  <c r="M21" i="21"/>
  <c r="N21" i="21" s="1"/>
  <c r="K21" i="21"/>
  <c r="L21" i="21" s="1"/>
  <c r="N105" i="19"/>
  <c r="O105" i="19" s="1"/>
  <c r="L105" i="19"/>
  <c r="M105" i="19" s="1"/>
  <c r="M23" i="19"/>
  <c r="N23" i="19" s="1"/>
  <c r="K23" i="19"/>
  <c r="L23" i="19" s="1"/>
  <c r="N105" i="18"/>
  <c r="O105" i="18" s="1"/>
  <c r="L105" i="18"/>
  <c r="M105" i="18" s="1"/>
  <c r="M23" i="18"/>
  <c r="N23" i="18" s="1"/>
  <c r="K23" i="18"/>
  <c r="L23" i="18" s="1"/>
  <c r="N106" i="4"/>
  <c r="O106" i="4" s="1"/>
  <c r="L106" i="4"/>
  <c r="M106" i="4" s="1"/>
  <c r="M24" i="4"/>
  <c r="N24" i="4" s="1"/>
  <c r="K24" i="4"/>
  <c r="L24" i="4" s="1"/>
  <c r="N106" i="3"/>
  <c r="O106" i="3" s="1"/>
  <c r="L106" i="3"/>
  <c r="M106" i="3" s="1"/>
  <c r="M24" i="3"/>
  <c r="N24" i="3" s="1"/>
  <c r="K24" i="3"/>
  <c r="L24" i="3" s="1"/>
  <c r="K17" i="29"/>
  <c r="L17" i="29" s="1"/>
  <c r="F66" i="2"/>
  <c r="C66" i="2"/>
  <c r="I10" i="35"/>
  <c r="I10" i="34"/>
  <c r="D95" i="34" s="1"/>
  <c r="I10" i="31"/>
  <c r="I10" i="28"/>
  <c r="I10" i="27"/>
  <c r="I10" i="24"/>
  <c r="I10" i="25"/>
  <c r="D95" i="25" s="1"/>
  <c r="I10" i="23"/>
  <c r="D93" i="23" s="1"/>
  <c r="I10" i="21"/>
  <c r="I10" i="20"/>
  <c r="D93" i="20" s="1"/>
  <c r="J97" i="20" s="1"/>
  <c r="I10" i="19"/>
  <c r="D95" i="19" s="1"/>
  <c r="I10" i="4"/>
  <c r="D93" i="4" s="1"/>
  <c r="B106" i="4"/>
  <c r="I10" i="3"/>
  <c r="D93" i="3" s="1"/>
  <c r="N73" i="13"/>
  <c r="L73" i="13"/>
  <c r="N72" i="13"/>
  <c r="L72" i="13"/>
  <c r="N73" i="35"/>
  <c r="L73" i="35"/>
  <c r="N72" i="35"/>
  <c r="L72" i="35"/>
  <c r="N73" i="34"/>
  <c r="L73" i="34"/>
  <c r="N72" i="34"/>
  <c r="L72" i="34"/>
  <c r="D95" i="13"/>
  <c r="D94" i="13"/>
  <c r="W32" i="17"/>
  <c r="W33" i="17"/>
  <c r="W34" i="17"/>
  <c r="O41" i="17"/>
  <c r="N41" i="17"/>
  <c r="P1" i="35"/>
  <c r="P84" i="35" s="1"/>
  <c r="P155" i="35"/>
  <c r="O155" i="35"/>
  <c r="M155" i="35"/>
  <c r="J155" i="35"/>
  <c r="P154" i="35"/>
  <c r="O154" i="35"/>
  <c r="M154" i="35"/>
  <c r="J154" i="35"/>
  <c r="P153" i="35"/>
  <c r="O153" i="35"/>
  <c r="M153" i="35"/>
  <c r="J153" i="35"/>
  <c r="P152" i="35"/>
  <c r="O152" i="35"/>
  <c r="M152" i="35"/>
  <c r="J152" i="35"/>
  <c r="P151" i="35"/>
  <c r="O151" i="35"/>
  <c r="M151" i="35"/>
  <c r="J151" i="35"/>
  <c r="P150" i="35"/>
  <c r="O150" i="35"/>
  <c r="M150" i="35"/>
  <c r="J150" i="35"/>
  <c r="P149" i="35"/>
  <c r="O149" i="35"/>
  <c r="M149" i="35"/>
  <c r="J149" i="35"/>
  <c r="P148" i="35"/>
  <c r="O148" i="35"/>
  <c r="M148" i="35"/>
  <c r="J148" i="35"/>
  <c r="P147" i="35"/>
  <c r="O147" i="35"/>
  <c r="M147" i="35"/>
  <c r="J147" i="35"/>
  <c r="P146" i="35"/>
  <c r="O146" i="35"/>
  <c r="M146" i="35"/>
  <c r="J146" i="35"/>
  <c r="P145" i="35"/>
  <c r="O145" i="35"/>
  <c r="M145" i="35"/>
  <c r="J145" i="35"/>
  <c r="P144" i="35"/>
  <c r="O144" i="35"/>
  <c r="M144" i="35"/>
  <c r="J144" i="35"/>
  <c r="P143" i="35"/>
  <c r="O143" i="35"/>
  <c r="M143" i="35"/>
  <c r="J143" i="35"/>
  <c r="P142" i="35"/>
  <c r="O142" i="35"/>
  <c r="M142" i="35"/>
  <c r="J142" i="35"/>
  <c r="P141" i="35"/>
  <c r="O141" i="35"/>
  <c r="M141" i="35"/>
  <c r="J141" i="35"/>
  <c r="P140" i="35"/>
  <c r="O140" i="35"/>
  <c r="M140" i="35"/>
  <c r="J140" i="35"/>
  <c r="P139" i="35"/>
  <c r="O139" i="35"/>
  <c r="M139" i="35"/>
  <c r="J139" i="35"/>
  <c r="P138" i="35"/>
  <c r="O138" i="35"/>
  <c r="M138" i="35"/>
  <c r="J138" i="35"/>
  <c r="P137" i="35"/>
  <c r="O137" i="35"/>
  <c r="M137" i="35"/>
  <c r="J137" i="35"/>
  <c r="P136" i="35"/>
  <c r="O136" i="35"/>
  <c r="M136" i="35"/>
  <c r="J136" i="35"/>
  <c r="P135" i="35"/>
  <c r="O135" i="35"/>
  <c r="M135" i="35"/>
  <c r="J135" i="35"/>
  <c r="P134" i="35"/>
  <c r="O134" i="35"/>
  <c r="M134" i="35"/>
  <c r="J134" i="35"/>
  <c r="P133" i="35"/>
  <c r="O133" i="35"/>
  <c r="M133" i="35"/>
  <c r="J133" i="35"/>
  <c r="P132" i="35"/>
  <c r="O132" i="35"/>
  <c r="M132" i="35"/>
  <c r="J132" i="35"/>
  <c r="O131" i="35"/>
  <c r="M131" i="35"/>
  <c r="O130" i="35"/>
  <c r="M130" i="35"/>
  <c r="O129" i="35"/>
  <c r="M129" i="35"/>
  <c r="O128" i="35"/>
  <c r="M128" i="35"/>
  <c r="O127" i="35"/>
  <c r="M127" i="35"/>
  <c r="O126" i="35"/>
  <c r="M126" i="35"/>
  <c r="O125" i="35"/>
  <c r="M125" i="35"/>
  <c r="O124" i="35"/>
  <c r="M124" i="35"/>
  <c r="O123" i="35"/>
  <c r="M123" i="35"/>
  <c r="O122" i="35"/>
  <c r="M122" i="35"/>
  <c r="O121" i="35"/>
  <c r="M121" i="35"/>
  <c r="O120" i="35"/>
  <c r="M120" i="35"/>
  <c r="O119" i="35"/>
  <c r="M119" i="35"/>
  <c r="O118" i="35"/>
  <c r="M118" i="35"/>
  <c r="O117" i="35"/>
  <c r="M117" i="35"/>
  <c r="O116" i="35"/>
  <c r="M116" i="35"/>
  <c r="O115" i="35"/>
  <c r="M115" i="35"/>
  <c r="O114" i="35"/>
  <c r="M114" i="35"/>
  <c r="O113" i="35"/>
  <c r="M113" i="35"/>
  <c r="O112" i="35"/>
  <c r="M112" i="35"/>
  <c r="O111" i="35"/>
  <c r="M111" i="35"/>
  <c r="O110" i="35"/>
  <c r="M110" i="35"/>
  <c r="O109" i="35"/>
  <c r="M109" i="35"/>
  <c r="O108" i="35"/>
  <c r="M108" i="35"/>
  <c r="O107" i="35"/>
  <c r="M107" i="35"/>
  <c r="O106" i="35"/>
  <c r="M106" i="35"/>
  <c r="O104" i="35"/>
  <c r="O103" i="35"/>
  <c r="O102" i="35"/>
  <c r="D97" i="35"/>
  <c r="L94" i="35"/>
  <c r="J94" i="35"/>
  <c r="D92" i="35"/>
  <c r="D90" i="35"/>
  <c r="N71" i="35"/>
  <c r="L71" i="35"/>
  <c r="N70" i="35"/>
  <c r="L70" i="35"/>
  <c r="N69" i="35"/>
  <c r="L69" i="35"/>
  <c r="N68" i="35"/>
  <c r="L68" i="35"/>
  <c r="N67" i="35"/>
  <c r="L67" i="35"/>
  <c r="N66" i="35"/>
  <c r="L66" i="35"/>
  <c r="N65" i="35"/>
  <c r="L65" i="35"/>
  <c r="N64" i="35"/>
  <c r="L64" i="35"/>
  <c r="N63" i="35"/>
  <c r="L63" i="35"/>
  <c r="N62" i="35"/>
  <c r="L62" i="35"/>
  <c r="N61" i="35"/>
  <c r="L61" i="35"/>
  <c r="N60" i="35"/>
  <c r="L60" i="35"/>
  <c r="N59" i="35"/>
  <c r="L59" i="35"/>
  <c r="N58" i="35"/>
  <c r="L58" i="35"/>
  <c r="N57" i="35"/>
  <c r="L57" i="35"/>
  <c r="N56" i="35"/>
  <c r="L56" i="35"/>
  <c r="N55" i="35"/>
  <c r="L55" i="35"/>
  <c r="N54" i="35"/>
  <c r="L54" i="35"/>
  <c r="N53" i="35"/>
  <c r="L53" i="35"/>
  <c r="N52" i="35"/>
  <c r="L52" i="35"/>
  <c r="N51" i="35"/>
  <c r="L51" i="35"/>
  <c r="N50" i="35"/>
  <c r="L50" i="35"/>
  <c r="N49" i="35"/>
  <c r="L49" i="35"/>
  <c r="N48" i="35"/>
  <c r="L48" i="35"/>
  <c r="N47" i="35"/>
  <c r="L47" i="35"/>
  <c r="N46" i="35"/>
  <c r="L46" i="35"/>
  <c r="N45" i="35"/>
  <c r="L45" i="35"/>
  <c r="N44" i="35"/>
  <c r="L44" i="35"/>
  <c r="N43" i="35"/>
  <c r="L43" i="35"/>
  <c r="N42" i="35"/>
  <c r="L42" i="35"/>
  <c r="N41" i="35"/>
  <c r="L41" i="35"/>
  <c r="N40" i="35"/>
  <c r="L40" i="35"/>
  <c r="N39" i="35"/>
  <c r="L39" i="35"/>
  <c r="N38" i="35"/>
  <c r="L38" i="35"/>
  <c r="N37" i="35"/>
  <c r="L37" i="35"/>
  <c r="N36" i="35"/>
  <c r="L36" i="35"/>
  <c r="N35" i="35"/>
  <c r="L35" i="35"/>
  <c r="N34" i="35"/>
  <c r="L34" i="35"/>
  <c r="N33" i="35"/>
  <c r="L33" i="35"/>
  <c r="N32" i="35"/>
  <c r="L32" i="35"/>
  <c r="N31" i="35"/>
  <c r="L31" i="35"/>
  <c r="N30" i="35"/>
  <c r="L30" i="35"/>
  <c r="N29" i="35"/>
  <c r="L29" i="35"/>
  <c r="N28" i="35"/>
  <c r="L28" i="35"/>
  <c r="N27" i="35"/>
  <c r="L27" i="35"/>
  <c r="N26" i="35"/>
  <c r="L26" i="35"/>
  <c r="N25" i="35"/>
  <c r="L25" i="35"/>
  <c r="N24" i="35"/>
  <c r="L24" i="35"/>
  <c r="N23" i="35"/>
  <c r="N22" i="35"/>
  <c r="N21" i="35"/>
  <c r="C17" i="35"/>
  <c r="C18" i="35" s="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 r="C40" i="35" s="1"/>
  <c r="C41" i="35" s="1"/>
  <c r="C42" i="35" s="1"/>
  <c r="C43" i="35" s="1"/>
  <c r="C44" i="35" s="1"/>
  <c r="C45" i="35" s="1"/>
  <c r="C46" i="35" s="1"/>
  <c r="C47" i="35" s="1"/>
  <c r="C48" i="35" s="1"/>
  <c r="C49" i="35" s="1"/>
  <c r="C50" i="35" s="1"/>
  <c r="C51" i="35" s="1"/>
  <c r="C52" i="35" s="1"/>
  <c r="C53" i="35" s="1"/>
  <c r="C54" i="35" s="1"/>
  <c r="C55" i="35" s="1"/>
  <c r="C56" i="35" s="1"/>
  <c r="C57" i="35" s="1"/>
  <c r="C58" i="35" s="1"/>
  <c r="C59" i="35" s="1"/>
  <c r="C60" i="35" s="1"/>
  <c r="C61" i="35" s="1"/>
  <c r="C62" i="35" s="1"/>
  <c r="C63" i="35" s="1"/>
  <c r="C64" i="35" s="1"/>
  <c r="C65" i="35" s="1"/>
  <c r="C66" i="35" s="1"/>
  <c r="C67" i="35" s="1"/>
  <c r="C68" i="35" s="1"/>
  <c r="C69" i="35" s="1"/>
  <c r="C70" i="35" s="1"/>
  <c r="C71" i="35" s="1"/>
  <c r="C72" i="35" s="1"/>
  <c r="K11" i="35"/>
  <c r="I11" i="35"/>
  <c r="D8" i="35"/>
  <c r="D91" i="35" s="1"/>
  <c r="P1" i="34"/>
  <c r="P84" i="34" s="1"/>
  <c r="P155" i="34"/>
  <c r="O155" i="34"/>
  <c r="M155" i="34"/>
  <c r="J155" i="34"/>
  <c r="P154" i="34"/>
  <c r="O154" i="34"/>
  <c r="M154" i="34"/>
  <c r="J154" i="34"/>
  <c r="P153" i="34"/>
  <c r="O153" i="34"/>
  <c r="M153" i="34"/>
  <c r="J153" i="34"/>
  <c r="P152" i="34"/>
  <c r="O152" i="34"/>
  <c r="M152" i="34"/>
  <c r="J152" i="34"/>
  <c r="P151" i="34"/>
  <c r="O151" i="34"/>
  <c r="M151" i="34"/>
  <c r="J151" i="34"/>
  <c r="P150" i="34"/>
  <c r="O150" i="34"/>
  <c r="M150" i="34"/>
  <c r="J150" i="34"/>
  <c r="P149" i="34"/>
  <c r="O149" i="34"/>
  <c r="M149" i="34"/>
  <c r="J149" i="34"/>
  <c r="P148" i="34"/>
  <c r="O148" i="34"/>
  <c r="M148" i="34"/>
  <c r="J148" i="34"/>
  <c r="P147" i="34"/>
  <c r="O147" i="34"/>
  <c r="M147" i="34"/>
  <c r="J147" i="34"/>
  <c r="P146" i="34"/>
  <c r="O146" i="34"/>
  <c r="M146" i="34"/>
  <c r="J146" i="34"/>
  <c r="P145" i="34"/>
  <c r="O145" i="34"/>
  <c r="M145" i="34"/>
  <c r="J145" i="34"/>
  <c r="P144" i="34"/>
  <c r="O144" i="34"/>
  <c r="M144" i="34"/>
  <c r="J144" i="34"/>
  <c r="P143" i="34"/>
  <c r="O143" i="34"/>
  <c r="M143" i="34"/>
  <c r="J143" i="34"/>
  <c r="P142" i="34"/>
  <c r="O142" i="34"/>
  <c r="M142" i="34"/>
  <c r="J142" i="34"/>
  <c r="P141" i="34"/>
  <c r="O141" i="34"/>
  <c r="M141" i="34"/>
  <c r="J141" i="34"/>
  <c r="P140" i="34"/>
  <c r="O140" i="34"/>
  <c r="M140" i="34"/>
  <c r="J140" i="34"/>
  <c r="P139" i="34"/>
  <c r="O139" i="34"/>
  <c r="M139" i="34"/>
  <c r="J139" i="34"/>
  <c r="P138" i="34"/>
  <c r="O138" i="34"/>
  <c r="M138" i="34"/>
  <c r="J138" i="34"/>
  <c r="P137" i="34"/>
  <c r="O137" i="34"/>
  <c r="M137" i="34"/>
  <c r="J137" i="34"/>
  <c r="P136" i="34"/>
  <c r="O136" i="34"/>
  <c r="M136" i="34"/>
  <c r="J136" i="34"/>
  <c r="P135" i="34"/>
  <c r="O135" i="34"/>
  <c r="M135" i="34"/>
  <c r="J135" i="34"/>
  <c r="P134" i="34"/>
  <c r="O134" i="34"/>
  <c r="M134" i="34"/>
  <c r="J134" i="34"/>
  <c r="P133" i="34"/>
  <c r="O133" i="34"/>
  <c r="M133" i="34"/>
  <c r="J133" i="34"/>
  <c r="P132" i="34"/>
  <c r="O132" i="34"/>
  <c r="M132" i="34"/>
  <c r="J132" i="34"/>
  <c r="O131" i="34"/>
  <c r="M131" i="34"/>
  <c r="O130" i="34"/>
  <c r="M130" i="34"/>
  <c r="O129" i="34"/>
  <c r="M129" i="34"/>
  <c r="O128" i="34"/>
  <c r="M128" i="34"/>
  <c r="O127" i="34"/>
  <c r="M127" i="34"/>
  <c r="O126" i="34"/>
  <c r="M126" i="34"/>
  <c r="O125" i="34"/>
  <c r="M125" i="34"/>
  <c r="O124" i="34"/>
  <c r="M124" i="34"/>
  <c r="O123" i="34"/>
  <c r="M123" i="34"/>
  <c r="O122" i="34"/>
  <c r="M122" i="34"/>
  <c r="O121" i="34"/>
  <c r="M121" i="34"/>
  <c r="O120" i="34"/>
  <c r="M120" i="34"/>
  <c r="O119" i="34"/>
  <c r="M119" i="34"/>
  <c r="O118" i="34"/>
  <c r="M118" i="34"/>
  <c r="O117" i="34"/>
  <c r="M117" i="34"/>
  <c r="O116" i="34"/>
  <c r="M116" i="34"/>
  <c r="O115" i="34"/>
  <c r="M115" i="34"/>
  <c r="O114" i="34"/>
  <c r="M114" i="34"/>
  <c r="O113" i="34"/>
  <c r="M113" i="34"/>
  <c r="O112" i="34"/>
  <c r="M112" i="34"/>
  <c r="O111" i="34"/>
  <c r="M111" i="34"/>
  <c r="O110" i="34"/>
  <c r="M110" i="34"/>
  <c r="O109" i="34"/>
  <c r="M109" i="34"/>
  <c r="O108" i="34"/>
  <c r="M108" i="34"/>
  <c r="O107" i="34"/>
  <c r="M107" i="34"/>
  <c r="O106" i="34"/>
  <c r="M106" i="34"/>
  <c r="O104" i="34"/>
  <c r="O103" i="34"/>
  <c r="O102" i="34"/>
  <c r="D97" i="34"/>
  <c r="L94" i="34"/>
  <c r="J94" i="34"/>
  <c r="D92" i="34"/>
  <c r="D90" i="34"/>
  <c r="N71" i="34"/>
  <c r="L71" i="34"/>
  <c r="N70" i="34"/>
  <c r="L70" i="34"/>
  <c r="N69" i="34"/>
  <c r="L69" i="34"/>
  <c r="N68" i="34"/>
  <c r="L68" i="34"/>
  <c r="N67" i="34"/>
  <c r="L67" i="34"/>
  <c r="N66" i="34"/>
  <c r="L66" i="34"/>
  <c r="N65" i="34"/>
  <c r="L65" i="34"/>
  <c r="N64" i="34"/>
  <c r="L64" i="34"/>
  <c r="N63" i="34"/>
  <c r="L63" i="34"/>
  <c r="N62" i="34"/>
  <c r="L62" i="34"/>
  <c r="N61" i="34"/>
  <c r="L61" i="34"/>
  <c r="N60" i="34"/>
  <c r="L60" i="34"/>
  <c r="N59" i="34"/>
  <c r="L59" i="34"/>
  <c r="N58" i="34"/>
  <c r="L58" i="34"/>
  <c r="N57" i="34"/>
  <c r="L57" i="34"/>
  <c r="N56" i="34"/>
  <c r="L56" i="34"/>
  <c r="N55" i="34"/>
  <c r="L55" i="34"/>
  <c r="N54" i="34"/>
  <c r="L54" i="34"/>
  <c r="N53" i="34"/>
  <c r="L53" i="34"/>
  <c r="N52" i="34"/>
  <c r="L52" i="34"/>
  <c r="N51" i="34"/>
  <c r="L51" i="34"/>
  <c r="N50" i="34"/>
  <c r="L50" i="34"/>
  <c r="N49" i="34"/>
  <c r="L49" i="34"/>
  <c r="N48" i="34"/>
  <c r="L48" i="34"/>
  <c r="N47" i="34"/>
  <c r="L47" i="34"/>
  <c r="N46" i="34"/>
  <c r="L46" i="34"/>
  <c r="N45" i="34"/>
  <c r="L45" i="34"/>
  <c r="N44" i="34"/>
  <c r="L44" i="34"/>
  <c r="N43" i="34"/>
  <c r="L43" i="34"/>
  <c r="N42" i="34"/>
  <c r="L42" i="34"/>
  <c r="N41" i="34"/>
  <c r="L41" i="34"/>
  <c r="N40" i="34"/>
  <c r="L40" i="34"/>
  <c r="N39" i="34"/>
  <c r="L39" i="34"/>
  <c r="N38" i="34"/>
  <c r="L38" i="34"/>
  <c r="N37" i="34"/>
  <c r="L37" i="34"/>
  <c r="N36" i="34"/>
  <c r="L36" i="34"/>
  <c r="N35" i="34"/>
  <c r="L35" i="34"/>
  <c r="N34" i="34"/>
  <c r="L34" i="34"/>
  <c r="N33" i="34"/>
  <c r="L33" i="34"/>
  <c r="N32" i="34"/>
  <c r="L32" i="34"/>
  <c r="N31" i="34"/>
  <c r="L31" i="34"/>
  <c r="N30" i="34"/>
  <c r="L30" i="34"/>
  <c r="N29" i="34"/>
  <c r="L29" i="34"/>
  <c r="N28" i="34"/>
  <c r="L28" i="34"/>
  <c r="N27" i="34"/>
  <c r="L27" i="34"/>
  <c r="N26" i="34"/>
  <c r="L26" i="34"/>
  <c r="N25" i="34"/>
  <c r="L25" i="34"/>
  <c r="N24" i="34"/>
  <c r="L24" i="34"/>
  <c r="N23" i="34"/>
  <c r="N22" i="34"/>
  <c r="N21" i="34"/>
  <c r="C17" i="34"/>
  <c r="C18" i="34" s="1"/>
  <c r="C19" i="34" s="1"/>
  <c r="C20" i="34" s="1"/>
  <c r="C21" i="34" s="1"/>
  <c r="C22" i="34" s="1"/>
  <c r="C23" i="34" s="1"/>
  <c r="C24" i="34" s="1"/>
  <c r="C25" i="34" s="1"/>
  <c r="C26" i="34" s="1"/>
  <c r="C27" i="34" s="1"/>
  <c r="C28" i="34" s="1"/>
  <c r="C29" i="34" s="1"/>
  <c r="C30" i="34" s="1"/>
  <c r="C31" i="34" s="1"/>
  <c r="C32" i="34" s="1"/>
  <c r="C33" i="34" s="1"/>
  <c r="C34" i="34" s="1"/>
  <c r="C35" i="34" s="1"/>
  <c r="C36" i="34" s="1"/>
  <c r="C37" i="34" s="1"/>
  <c r="C38" i="34" s="1"/>
  <c r="C39" i="34" s="1"/>
  <c r="C40" i="34" s="1"/>
  <c r="C41" i="34" s="1"/>
  <c r="C42" i="34" s="1"/>
  <c r="C43" i="34" s="1"/>
  <c r="C44" i="34" s="1"/>
  <c r="C45" i="34" s="1"/>
  <c r="C46" i="34" s="1"/>
  <c r="C47" i="34" s="1"/>
  <c r="C48" i="34" s="1"/>
  <c r="C49" i="34" s="1"/>
  <c r="C50" i="34" s="1"/>
  <c r="C51" i="34" s="1"/>
  <c r="C52" i="34" s="1"/>
  <c r="C53" i="34" s="1"/>
  <c r="C54" i="34" s="1"/>
  <c r="C55" i="34" s="1"/>
  <c r="C56" i="34" s="1"/>
  <c r="C57" i="34" s="1"/>
  <c r="C58" i="34" s="1"/>
  <c r="C59" i="34" s="1"/>
  <c r="C60" i="34" s="1"/>
  <c r="C61" i="34" s="1"/>
  <c r="C62" i="34" s="1"/>
  <c r="C63" i="34" s="1"/>
  <c r="C64" i="34" s="1"/>
  <c r="C65" i="34" s="1"/>
  <c r="C66" i="34" s="1"/>
  <c r="C67" i="34" s="1"/>
  <c r="C68" i="34" s="1"/>
  <c r="C69" i="34" s="1"/>
  <c r="C70" i="34" s="1"/>
  <c r="C71" i="34" s="1"/>
  <c r="C72" i="34" s="1"/>
  <c r="B17" i="34"/>
  <c r="K11" i="34"/>
  <c r="I11" i="34"/>
  <c r="D8" i="34"/>
  <c r="D91" i="34" s="1"/>
  <c r="B21" i="28"/>
  <c r="B22" i="19"/>
  <c r="D93" i="25"/>
  <c r="N102" i="28"/>
  <c r="O102" i="28" s="1"/>
  <c r="L102" i="28"/>
  <c r="M102" i="28" s="1"/>
  <c r="N102" i="27"/>
  <c r="O102" i="27" s="1"/>
  <c r="L102" i="27"/>
  <c r="M102" i="27" s="1"/>
  <c r="N101" i="26"/>
  <c r="O101" i="26" s="1"/>
  <c r="L101" i="26"/>
  <c r="M101" i="26" s="1"/>
  <c r="N102" i="24"/>
  <c r="O102" i="24" s="1"/>
  <c r="L102" i="24"/>
  <c r="M102" i="24" s="1"/>
  <c r="N100" i="25"/>
  <c r="O100" i="25" s="1"/>
  <c r="L100" i="25"/>
  <c r="M100" i="25" s="1"/>
  <c r="L101" i="23"/>
  <c r="M101" i="23" s="1"/>
  <c r="N101" i="23"/>
  <c r="O101" i="23" s="1"/>
  <c r="L101" i="22"/>
  <c r="M101" i="22" s="1"/>
  <c r="N101" i="22"/>
  <c r="O101" i="22" s="1"/>
  <c r="L102" i="21"/>
  <c r="M102" i="21" s="1"/>
  <c r="N102" i="21"/>
  <c r="O102" i="21" s="1"/>
  <c r="L104" i="19"/>
  <c r="M104" i="19" s="1"/>
  <c r="N104" i="19"/>
  <c r="O104" i="19" s="1"/>
  <c r="L104" i="18"/>
  <c r="M104" i="18" s="1"/>
  <c r="N104" i="18"/>
  <c r="O104" i="18" s="1"/>
  <c r="L105" i="3"/>
  <c r="M105" i="3" s="1"/>
  <c r="N105" i="3"/>
  <c r="O105" i="3" s="1"/>
  <c r="M17" i="29"/>
  <c r="N17" i="29" s="1"/>
  <c r="K20" i="28"/>
  <c r="L20" i="28" s="1"/>
  <c r="M20" i="28"/>
  <c r="N20" i="28" s="1"/>
  <c r="K20" i="27"/>
  <c r="L20" i="27" s="1"/>
  <c r="M20" i="27"/>
  <c r="N20" i="27" s="1"/>
  <c r="K19" i="26"/>
  <c r="L19" i="26" s="1"/>
  <c r="M19" i="26"/>
  <c r="N19" i="26" s="1"/>
  <c r="K20" i="24"/>
  <c r="L20" i="24" s="1"/>
  <c r="M20" i="24"/>
  <c r="N20" i="24" s="1"/>
  <c r="K18" i="25"/>
  <c r="L18" i="25" s="1"/>
  <c r="M18" i="25"/>
  <c r="N18" i="25" s="1"/>
  <c r="K19" i="23"/>
  <c r="L19" i="23" s="1"/>
  <c r="M19" i="23"/>
  <c r="N19" i="23" s="1"/>
  <c r="K19" i="22"/>
  <c r="L19" i="22" s="1"/>
  <c r="M19" i="22"/>
  <c r="N19" i="22" s="1"/>
  <c r="K20" i="21"/>
  <c r="L20" i="21" s="1"/>
  <c r="M20" i="21"/>
  <c r="N20" i="21" s="1"/>
  <c r="K22" i="19"/>
  <c r="L22" i="19" s="1"/>
  <c r="M22" i="19"/>
  <c r="N22" i="19" s="1"/>
  <c r="K22" i="18"/>
  <c r="L22" i="18" s="1"/>
  <c r="M22" i="18"/>
  <c r="N22" i="18" s="1"/>
  <c r="K23" i="4"/>
  <c r="L23" i="4" s="1"/>
  <c r="M23" i="4"/>
  <c r="N23" i="4" s="1"/>
  <c r="K23" i="3"/>
  <c r="L23" i="3" s="1"/>
  <c r="M23" i="3"/>
  <c r="N23" i="3" s="1"/>
  <c r="L32" i="29"/>
  <c r="N32" i="29"/>
  <c r="L33" i="29"/>
  <c r="N33" i="29"/>
  <c r="L32" i="28"/>
  <c r="N32" i="28"/>
  <c r="L33" i="28"/>
  <c r="N33" i="28"/>
  <c r="L32" i="27"/>
  <c r="N32" i="27"/>
  <c r="L33" i="27"/>
  <c r="N33" i="27"/>
  <c r="L32" i="26"/>
  <c r="N32" i="26"/>
  <c r="L33" i="26"/>
  <c r="N33" i="26"/>
  <c r="L32" i="24"/>
  <c r="N32" i="24"/>
  <c r="L33" i="24"/>
  <c r="N33" i="24"/>
  <c r="L32" i="25"/>
  <c r="N32" i="25"/>
  <c r="L33" i="25"/>
  <c r="N33" i="25"/>
  <c r="L32" i="23"/>
  <c r="N32" i="23"/>
  <c r="L33" i="23"/>
  <c r="N33" i="23"/>
  <c r="L32" i="22"/>
  <c r="N32" i="22"/>
  <c r="L32" i="21"/>
  <c r="N32" i="21"/>
  <c r="N32" i="20"/>
  <c r="L32" i="20"/>
  <c r="L31" i="19"/>
  <c r="N31" i="19"/>
  <c r="L32" i="19"/>
  <c r="N32" i="19"/>
  <c r="L33" i="19"/>
  <c r="N33" i="19"/>
  <c r="L31" i="18"/>
  <c r="N31" i="18"/>
  <c r="L32" i="18"/>
  <c r="N32" i="18"/>
  <c r="L33" i="18"/>
  <c r="N33" i="18"/>
  <c r="P1" i="31"/>
  <c r="P84" i="31" s="1"/>
  <c r="P1" i="29"/>
  <c r="P84" i="29" s="1"/>
  <c r="P1" i="28"/>
  <c r="P84" i="28" s="1"/>
  <c r="P1" i="27"/>
  <c r="P84" i="27" s="1"/>
  <c r="P1" i="26"/>
  <c r="P84" i="26" s="1"/>
  <c r="P1" i="24"/>
  <c r="P84" i="24" s="1"/>
  <c r="P1" i="25"/>
  <c r="P84" i="25" s="1"/>
  <c r="L105" i="4"/>
  <c r="M105" i="4" s="1"/>
  <c r="N105" i="4"/>
  <c r="O105" i="4" s="1"/>
  <c r="L104" i="3"/>
  <c r="M104" i="3" s="1"/>
  <c r="N32" i="3"/>
  <c r="L32" i="3"/>
  <c r="L31" i="3"/>
  <c r="N31" i="3"/>
  <c r="L33" i="3"/>
  <c r="N33" i="3"/>
  <c r="L34" i="3"/>
  <c r="N34" i="3"/>
  <c r="L35" i="3"/>
  <c r="N35" i="3"/>
  <c r="L36" i="3"/>
  <c r="N36" i="3"/>
  <c r="L37" i="3"/>
  <c r="N37" i="3"/>
  <c r="L38" i="3"/>
  <c r="N38" i="3"/>
  <c r="L39" i="3"/>
  <c r="N39" i="3"/>
  <c r="L40" i="3"/>
  <c r="N40" i="3"/>
  <c r="L41" i="3"/>
  <c r="N41" i="3"/>
  <c r="L42" i="3"/>
  <c r="N42" i="3"/>
  <c r="L43" i="3"/>
  <c r="N43" i="3"/>
  <c r="N43" i="31"/>
  <c r="L43" i="31"/>
  <c r="N42" i="31"/>
  <c r="L42" i="31"/>
  <c r="N41" i="31"/>
  <c r="L41" i="31"/>
  <c r="N33" i="31"/>
  <c r="L33" i="31"/>
  <c r="N32" i="31"/>
  <c r="L32" i="31"/>
  <c r="D95" i="31"/>
  <c r="D94" i="31"/>
  <c r="C100" i="31" s="1"/>
  <c r="C101" i="31" s="1"/>
  <c r="C102" i="31" s="1"/>
  <c r="C103" i="31" s="1"/>
  <c r="C104" i="31" s="1"/>
  <c r="C105" i="31" s="1"/>
  <c r="C106" i="31" s="1"/>
  <c r="C107" i="31" s="1"/>
  <c r="C108" i="31" s="1"/>
  <c r="C109" i="31" s="1"/>
  <c r="C110" i="31" s="1"/>
  <c r="C111" i="31" s="1"/>
  <c r="C112" i="31" s="1"/>
  <c r="C113" i="31" s="1"/>
  <c r="C114" i="31" s="1"/>
  <c r="C115" i="31" s="1"/>
  <c r="C116" i="31" s="1"/>
  <c r="C117" i="31" s="1"/>
  <c r="C118" i="31" s="1"/>
  <c r="C119" i="31" s="1"/>
  <c r="C120" i="31" s="1"/>
  <c r="C121" i="31" s="1"/>
  <c r="C122" i="31" s="1"/>
  <c r="C123" i="31" s="1"/>
  <c r="C124" i="31" s="1"/>
  <c r="C125" i="31" s="1"/>
  <c r="C126" i="31" s="1"/>
  <c r="C127" i="31" s="1"/>
  <c r="C128" i="31" s="1"/>
  <c r="C129" i="31" s="1"/>
  <c r="C130" i="31" s="1"/>
  <c r="C131" i="31" s="1"/>
  <c r="C132" i="31" s="1"/>
  <c r="C133" i="31" s="1"/>
  <c r="C134" i="31" s="1"/>
  <c r="C135" i="31" s="1"/>
  <c r="C136" i="31" s="1"/>
  <c r="C137" i="31" s="1"/>
  <c r="C138" i="31" s="1"/>
  <c r="C139" i="31" s="1"/>
  <c r="C140" i="31" s="1"/>
  <c r="C141" i="31" s="1"/>
  <c r="C142" i="31" s="1"/>
  <c r="C143" i="31" s="1"/>
  <c r="C144" i="31" s="1"/>
  <c r="C145" i="31" s="1"/>
  <c r="C146" i="31" s="1"/>
  <c r="C147" i="31" s="1"/>
  <c r="C148" i="31" s="1"/>
  <c r="C149" i="31" s="1"/>
  <c r="C150" i="31" s="1"/>
  <c r="C151" i="31" s="1"/>
  <c r="C152" i="31" s="1"/>
  <c r="C153" i="31" s="1"/>
  <c r="C154" i="31" s="1"/>
  <c r="C155" i="31" s="1"/>
  <c r="O155" i="31"/>
  <c r="M155" i="31"/>
  <c r="O154" i="31"/>
  <c r="M154" i="31"/>
  <c r="O153" i="31"/>
  <c r="M153" i="31"/>
  <c r="O152" i="31"/>
  <c r="M152" i="31"/>
  <c r="O151" i="31"/>
  <c r="M151" i="31"/>
  <c r="O150" i="31"/>
  <c r="M150" i="31"/>
  <c r="O149" i="31"/>
  <c r="M149" i="31"/>
  <c r="O148" i="31"/>
  <c r="M148" i="31"/>
  <c r="O147" i="31"/>
  <c r="M147" i="31"/>
  <c r="O146" i="31"/>
  <c r="M146" i="31"/>
  <c r="O145" i="31"/>
  <c r="M145" i="31"/>
  <c r="O144" i="31"/>
  <c r="M144" i="31"/>
  <c r="O143" i="31"/>
  <c r="M143" i="31"/>
  <c r="O142" i="31"/>
  <c r="M142" i="31"/>
  <c r="O141" i="31"/>
  <c r="M141" i="31"/>
  <c r="O140" i="31"/>
  <c r="M140" i="31"/>
  <c r="O139" i="31"/>
  <c r="M139" i="31"/>
  <c r="O138" i="31"/>
  <c r="M138" i="31"/>
  <c r="O137" i="31"/>
  <c r="M137" i="31"/>
  <c r="O136" i="31"/>
  <c r="M136" i="31"/>
  <c r="O135" i="31"/>
  <c r="M135" i="31"/>
  <c r="O134" i="31"/>
  <c r="M134" i="31"/>
  <c r="O133" i="31"/>
  <c r="M133" i="31"/>
  <c r="O132" i="31"/>
  <c r="M132" i="31"/>
  <c r="O131" i="31"/>
  <c r="M131" i="31"/>
  <c r="O130" i="31"/>
  <c r="M130" i="31"/>
  <c r="O129" i="31"/>
  <c r="M129" i="31"/>
  <c r="O128" i="31"/>
  <c r="M128" i="31"/>
  <c r="O127" i="31"/>
  <c r="M127" i="31"/>
  <c r="O126" i="31"/>
  <c r="M126" i="31"/>
  <c r="O125" i="31"/>
  <c r="M125" i="31"/>
  <c r="O124" i="31"/>
  <c r="M124" i="31"/>
  <c r="O123" i="31"/>
  <c r="M123" i="31"/>
  <c r="O122" i="31"/>
  <c r="M122" i="31"/>
  <c r="O121" i="31"/>
  <c r="M121" i="31"/>
  <c r="O120" i="31"/>
  <c r="M120" i="31"/>
  <c r="O119" i="31"/>
  <c r="M119" i="31"/>
  <c r="O118" i="31"/>
  <c r="M118" i="31"/>
  <c r="O117" i="31"/>
  <c r="M117" i="31"/>
  <c r="O116" i="31"/>
  <c r="M116" i="31"/>
  <c r="O115" i="31"/>
  <c r="M115" i="31"/>
  <c r="O114" i="31"/>
  <c r="M114" i="31"/>
  <c r="O113" i="31"/>
  <c r="M113" i="31"/>
  <c r="O112" i="31"/>
  <c r="M112" i="31"/>
  <c r="O111" i="31"/>
  <c r="M111" i="31"/>
  <c r="O110" i="31"/>
  <c r="M110" i="31"/>
  <c r="O109" i="31"/>
  <c r="M109" i="31"/>
  <c r="O108" i="31"/>
  <c r="M108" i="31"/>
  <c r="O107" i="31"/>
  <c r="M107" i="31"/>
  <c r="O106" i="31"/>
  <c r="M106" i="31"/>
  <c r="O104" i="31"/>
  <c r="O103" i="31"/>
  <c r="O102" i="31"/>
  <c r="D97" i="31"/>
  <c r="L94" i="31"/>
  <c r="J94" i="31"/>
  <c r="D90" i="31"/>
  <c r="N73" i="31"/>
  <c r="L73" i="31"/>
  <c r="N72" i="31"/>
  <c r="L72" i="31"/>
  <c r="N71" i="31"/>
  <c r="L71" i="31"/>
  <c r="N70" i="31"/>
  <c r="L70" i="31"/>
  <c r="N69" i="31"/>
  <c r="L69" i="31"/>
  <c r="N68" i="31"/>
  <c r="L68" i="31"/>
  <c r="N67" i="31"/>
  <c r="L67" i="31"/>
  <c r="N66" i="31"/>
  <c r="L66" i="31"/>
  <c r="N65" i="31"/>
  <c r="L65" i="31"/>
  <c r="N64" i="31"/>
  <c r="L64" i="31"/>
  <c r="N63" i="31"/>
  <c r="L63" i="31"/>
  <c r="N62" i="31"/>
  <c r="L62" i="31"/>
  <c r="N61" i="31"/>
  <c r="L61" i="31"/>
  <c r="N60" i="31"/>
  <c r="L60" i="31"/>
  <c r="N59" i="31"/>
  <c r="L59" i="31"/>
  <c r="N58" i="31"/>
  <c r="L58" i="31"/>
  <c r="N57" i="31"/>
  <c r="L57" i="31"/>
  <c r="N56" i="31"/>
  <c r="L56" i="31"/>
  <c r="N55" i="31"/>
  <c r="L55" i="31"/>
  <c r="N54" i="31"/>
  <c r="L54" i="31"/>
  <c r="N53" i="31"/>
  <c r="L53" i="31"/>
  <c r="N52" i="31"/>
  <c r="L52" i="31"/>
  <c r="N51" i="31"/>
  <c r="L51" i="31"/>
  <c r="N50" i="31"/>
  <c r="L50" i="31"/>
  <c r="N49" i="31"/>
  <c r="L49" i="31"/>
  <c r="N48" i="31"/>
  <c r="L48" i="31"/>
  <c r="N47" i="31"/>
  <c r="L47" i="31"/>
  <c r="N46" i="31"/>
  <c r="L46" i="31"/>
  <c r="N45" i="31"/>
  <c r="L45" i="31"/>
  <c r="N44" i="31"/>
  <c r="L44" i="31"/>
  <c r="N40" i="31"/>
  <c r="L40" i="31"/>
  <c r="N39" i="31"/>
  <c r="L39" i="31"/>
  <c r="N38" i="31"/>
  <c r="L38" i="31"/>
  <c r="N37" i="31"/>
  <c r="L37" i="31"/>
  <c r="N36" i="31"/>
  <c r="L36" i="31"/>
  <c r="N35" i="31"/>
  <c r="L35" i="31"/>
  <c r="N34" i="31"/>
  <c r="L34" i="31"/>
  <c r="N31" i="31"/>
  <c r="L31" i="31"/>
  <c r="N30" i="31"/>
  <c r="L30" i="31"/>
  <c r="N29" i="31"/>
  <c r="L29" i="31"/>
  <c r="N28" i="31"/>
  <c r="L28" i="31"/>
  <c r="N27" i="31"/>
  <c r="L27" i="31"/>
  <c r="N26" i="31"/>
  <c r="L26" i="31"/>
  <c r="N25" i="31"/>
  <c r="L25" i="31"/>
  <c r="N24" i="31"/>
  <c r="L24" i="31"/>
  <c r="N23" i="31"/>
  <c r="N22" i="31"/>
  <c r="N21" i="31"/>
  <c r="N20" i="31"/>
  <c r="C17" i="31"/>
  <c r="C18" i="31" s="1"/>
  <c r="C19" i="31" s="1"/>
  <c r="C20" i="31" s="1"/>
  <c r="C21" i="31" s="1"/>
  <c r="C22" i="31" s="1"/>
  <c r="C23" i="31" s="1"/>
  <c r="C24" i="31" s="1"/>
  <c r="C25" i="31" s="1"/>
  <c r="C26" i="31" s="1"/>
  <c r="C27" i="31" s="1"/>
  <c r="C28" i="31" s="1"/>
  <c r="C29" i="31" s="1"/>
  <c r="C30" i="31" s="1"/>
  <c r="C31" i="31" s="1"/>
  <c r="C32" i="31" s="1"/>
  <c r="B17" i="31"/>
  <c r="K11" i="31"/>
  <c r="D8" i="31"/>
  <c r="D91" i="31" s="1"/>
  <c r="H3" i="31"/>
  <c r="P1" i="23"/>
  <c r="P84" i="23" s="1"/>
  <c r="P1" i="22"/>
  <c r="P84" i="22" s="1"/>
  <c r="F90" i="2"/>
  <c r="F86" i="1"/>
  <c r="F83" i="1"/>
  <c r="D93" i="19"/>
  <c r="W31" i="17"/>
  <c r="P155" i="29"/>
  <c r="O155" i="29"/>
  <c r="M155" i="29"/>
  <c r="J155" i="29"/>
  <c r="P154" i="29"/>
  <c r="O154" i="29"/>
  <c r="M154" i="29"/>
  <c r="J154" i="29"/>
  <c r="P153" i="29"/>
  <c r="O153" i="29"/>
  <c r="M153" i="29"/>
  <c r="J153" i="29"/>
  <c r="P152" i="29"/>
  <c r="O152" i="29"/>
  <c r="M152" i="29"/>
  <c r="J152" i="29"/>
  <c r="P151" i="29"/>
  <c r="O151" i="29"/>
  <c r="M151" i="29"/>
  <c r="J151" i="29"/>
  <c r="P150" i="29"/>
  <c r="O150" i="29"/>
  <c r="M150" i="29"/>
  <c r="J150" i="29"/>
  <c r="P149" i="29"/>
  <c r="O149" i="29"/>
  <c r="M149" i="29"/>
  <c r="J149" i="29"/>
  <c r="P148" i="29"/>
  <c r="O148" i="29"/>
  <c r="M148" i="29"/>
  <c r="J148" i="29"/>
  <c r="P147" i="29"/>
  <c r="O147" i="29"/>
  <c r="M147" i="29"/>
  <c r="J147" i="29"/>
  <c r="P146" i="29"/>
  <c r="O146" i="29"/>
  <c r="M146" i="29"/>
  <c r="J146" i="29"/>
  <c r="P145" i="29"/>
  <c r="O145" i="29"/>
  <c r="M145" i="29"/>
  <c r="J145" i="29"/>
  <c r="P144" i="29"/>
  <c r="O144" i="29"/>
  <c r="M144" i="29"/>
  <c r="J144" i="29"/>
  <c r="P143" i="29"/>
  <c r="O143" i="29"/>
  <c r="M143" i="29"/>
  <c r="J143" i="29"/>
  <c r="P142" i="29"/>
  <c r="O142" i="29"/>
  <c r="M142" i="29"/>
  <c r="J142" i="29"/>
  <c r="P141" i="29"/>
  <c r="O141" i="29"/>
  <c r="M141" i="29"/>
  <c r="J141" i="29"/>
  <c r="P140" i="29"/>
  <c r="O140" i="29"/>
  <c r="M140" i="29"/>
  <c r="J140" i="29"/>
  <c r="P139" i="29"/>
  <c r="O139" i="29"/>
  <c r="M139" i="29"/>
  <c r="J139" i="29"/>
  <c r="P138" i="29"/>
  <c r="O138" i="29"/>
  <c r="M138" i="29"/>
  <c r="J138" i="29"/>
  <c r="P137" i="29"/>
  <c r="O137" i="29"/>
  <c r="M137" i="29"/>
  <c r="J137" i="29"/>
  <c r="P136" i="29"/>
  <c r="O136" i="29"/>
  <c r="M136" i="29"/>
  <c r="J136" i="29"/>
  <c r="P135" i="29"/>
  <c r="O135" i="29"/>
  <c r="M135" i="29"/>
  <c r="J135" i="29"/>
  <c r="P134" i="29"/>
  <c r="O134" i="29"/>
  <c r="M134" i="29"/>
  <c r="J134" i="29"/>
  <c r="P133" i="29"/>
  <c r="O133" i="29"/>
  <c r="M133" i="29"/>
  <c r="J133" i="29"/>
  <c r="P132" i="29"/>
  <c r="O132" i="29"/>
  <c r="M132" i="29"/>
  <c r="J132" i="29"/>
  <c r="O131" i="29"/>
  <c r="M131" i="29"/>
  <c r="O130" i="29"/>
  <c r="M130" i="29"/>
  <c r="O129" i="29"/>
  <c r="M129" i="29"/>
  <c r="O128" i="29"/>
  <c r="M128" i="29"/>
  <c r="O127" i="29"/>
  <c r="M127" i="29"/>
  <c r="O126" i="29"/>
  <c r="M126" i="29"/>
  <c r="O125" i="29"/>
  <c r="M125" i="29"/>
  <c r="O124" i="29"/>
  <c r="M124" i="29"/>
  <c r="O123" i="29"/>
  <c r="M123" i="29"/>
  <c r="O122" i="29"/>
  <c r="M122" i="29"/>
  <c r="O121" i="29"/>
  <c r="M121" i="29"/>
  <c r="O120" i="29"/>
  <c r="M120" i="29"/>
  <c r="O119" i="29"/>
  <c r="M119" i="29"/>
  <c r="O118" i="29"/>
  <c r="M118" i="29"/>
  <c r="O117" i="29"/>
  <c r="M117" i="29"/>
  <c r="O116" i="29"/>
  <c r="M116" i="29"/>
  <c r="O115" i="29"/>
  <c r="M115" i="29"/>
  <c r="O114" i="29"/>
  <c r="M114" i="29"/>
  <c r="O113" i="29"/>
  <c r="M113" i="29"/>
  <c r="O112" i="29"/>
  <c r="M112" i="29"/>
  <c r="O111" i="29"/>
  <c r="M111" i="29"/>
  <c r="O110" i="29"/>
  <c r="M110" i="29"/>
  <c r="O109" i="29"/>
  <c r="M109" i="29"/>
  <c r="O108" i="29"/>
  <c r="M108" i="29"/>
  <c r="O107" i="29"/>
  <c r="M107" i="29"/>
  <c r="O105" i="29"/>
  <c r="O104" i="29"/>
  <c r="D97" i="29"/>
  <c r="L94" i="29"/>
  <c r="J94" i="29"/>
  <c r="D92" i="29"/>
  <c r="D90" i="29"/>
  <c r="N73" i="29"/>
  <c r="L73" i="29"/>
  <c r="N72" i="29"/>
  <c r="L72" i="29"/>
  <c r="N71" i="29"/>
  <c r="L71" i="29"/>
  <c r="N70" i="29"/>
  <c r="L70" i="29"/>
  <c r="N69" i="29"/>
  <c r="L69" i="29"/>
  <c r="N68" i="29"/>
  <c r="L68" i="29"/>
  <c r="N67" i="29"/>
  <c r="L67" i="29"/>
  <c r="N66" i="29"/>
  <c r="L66" i="29"/>
  <c r="N65" i="29"/>
  <c r="L65" i="29"/>
  <c r="N64" i="29"/>
  <c r="L64" i="29"/>
  <c r="N63" i="29"/>
  <c r="L63" i="29"/>
  <c r="N62" i="29"/>
  <c r="L62" i="29"/>
  <c r="N61" i="29"/>
  <c r="L61" i="29"/>
  <c r="N60" i="29"/>
  <c r="L60" i="29"/>
  <c r="N59" i="29"/>
  <c r="L59" i="29"/>
  <c r="N58" i="29"/>
  <c r="L58" i="29"/>
  <c r="N57" i="29"/>
  <c r="L57" i="29"/>
  <c r="N56" i="29"/>
  <c r="L56" i="29"/>
  <c r="N55" i="29"/>
  <c r="L55" i="29"/>
  <c r="N54" i="29"/>
  <c r="L54" i="29"/>
  <c r="N53" i="29"/>
  <c r="L53" i="29"/>
  <c r="N52" i="29"/>
  <c r="L52" i="29"/>
  <c r="N51" i="29"/>
  <c r="L51" i="29"/>
  <c r="N50" i="29"/>
  <c r="L50" i="29"/>
  <c r="N49" i="29"/>
  <c r="L49" i="29"/>
  <c r="N48" i="29"/>
  <c r="L48" i="29"/>
  <c r="N47" i="29"/>
  <c r="L47" i="29"/>
  <c r="N46" i="29"/>
  <c r="L46" i="29"/>
  <c r="N45" i="29"/>
  <c r="L45" i="29"/>
  <c r="N44" i="29"/>
  <c r="L44" i="29"/>
  <c r="N43" i="29"/>
  <c r="L43" i="29"/>
  <c r="N42" i="29"/>
  <c r="L42" i="29"/>
  <c r="N41" i="29"/>
  <c r="L41" i="29"/>
  <c r="N40" i="29"/>
  <c r="L40" i="29"/>
  <c r="N39" i="29"/>
  <c r="L39" i="29"/>
  <c r="N38" i="29"/>
  <c r="L38" i="29"/>
  <c r="N37" i="29"/>
  <c r="L37" i="29"/>
  <c r="N36" i="29"/>
  <c r="L36" i="29"/>
  <c r="N35" i="29"/>
  <c r="L35" i="29"/>
  <c r="N34" i="29"/>
  <c r="L34" i="29"/>
  <c r="N31" i="29"/>
  <c r="L31" i="29"/>
  <c r="N30" i="29"/>
  <c r="L30" i="29"/>
  <c r="N29" i="29"/>
  <c r="L29" i="29"/>
  <c r="N28" i="29"/>
  <c r="L28" i="29"/>
  <c r="N27" i="29"/>
  <c r="L27" i="29"/>
  <c r="N26" i="29"/>
  <c r="L26" i="29"/>
  <c r="N25" i="29"/>
  <c r="L25" i="29"/>
  <c r="N24" i="29"/>
  <c r="N23" i="29"/>
  <c r="N22" i="29"/>
  <c r="N21" i="29"/>
  <c r="C17" i="29"/>
  <c r="C18" i="29" s="1"/>
  <c r="C19" i="29" s="1"/>
  <c r="C20" i="29" s="1"/>
  <c r="C21" i="29" s="1"/>
  <c r="C22" i="29" s="1"/>
  <c r="C23" i="29" s="1"/>
  <c r="C24" i="29" s="1"/>
  <c r="C25" i="29" s="1"/>
  <c r="C26" i="29" s="1"/>
  <c r="C27" i="29" s="1"/>
  <c r="C28" i="29" s="1"/>
  <c r="C29" i="29" s="1"/>
  <c r="C30" i="29" s="1"/>
  <c r="C31" i="29" s="1"/>
  <c r="C32" i="29" s="1"/>
  <c r="K11" i="29"/>
  <c r="I11" i="29"/>
  <c r="D8" i="29"/>
  <c r="D91" i="29" s="1"/>
  <c r="B100" i="22"/>
  <c r="B18" i="22"/>
  <c r="B17" i="22"/>
  <c r="B102" i="28"/>
  <c r="B20" i="28"/>
  <c r="B19" i="28"/>
  <c r="B18" i="28"/>
  <c r="B17" i="28"/>
  <c r="D95" i="28"/>
  <c r="D94" i="28"/>
  <c r="C100" i="28" s="1"/>
  <c r="C101" i="28" s="1"/>
  <c r="C102" i="28" s="1"/>
  <c r="C103" i="28" s="1"/>
  <c r="C104" i="28" s="1"/>
  <c r="C105" i="28" s="1"/>
  <c r="C106" i="28" s="1"/>
  <c r="C107" i="28" s="1"/>
  <c r="C108" i="28" s="1"/>
  <c r="C109" i="28" s="1"/>
  <c r="C110" i="28" s="1"/>
  <c r="C111" i="28" s="1"/>
  <c r="C112" i="28" s="1"/>
  <c r="C113" i="28" s="1"/>
  <c r="C114" i="28" s="1"/>
  <c r="C115" i="28" s="1"/>
  <c r="C116" i="28" s="1"/>
  <c r="C117" i="28" s="1"/>
  <c r="C118" i="28" s="1"/>
  <c r="C119" i="28" s="1"/>
  <c r="C120" i="28" s="1"/>
  <c r="C121" i="28" s="1"/>
  <c r="C122" i="28" s="1"/>
  <c r="C123" i="28" s="1"/>
  <c r="C124" i="28" s="1"/>
  <c r="C125" i="28" s="1"/>
  <c r="C126" i="28" s="1"/>
  <c r="C127" i="28" s="1"/>
  <c r="C128" i="28" s="1"/>
  <c r="C129" i="28" s="1"/>
  <c r="C130" i="28" s="1"/>
  <c r="C131" i="28" s="1"/>
  <c r="C132" i="28" s="1"/>
  <c r="C133" i="28" s="1"/>
  <c r="C134" i="28" s="1"/>
  <c r="C135" i="28" s="1"/>
  <c r="C136" i="28" s="1"/>
  <c r="C137" i="28" s="1"/>
  <c r="C138" i="28" s="1"/>
  <c r="C139" i="28" s="1"/>
  <c r="C140" i="28" s="1"/>
  <c r="C141" i="28" s="1"/>
  <c r="C142" i="28" s="1"/>
  <c r="C143" i="28" s="1"/>
  <c r="C144" i="28" s="1"/>
  <c r="C145" i="28" s="1"/>
  <c r="C146" i="28" s="1"/>
  <c r="C147" i="28" s="1"/>
  <c r="C148" i="28" s="1"/>
  <c r="C149" i="28" s="1"/>
  <c r="C150" i="28" s="1"/>
  <c r="C151" i="28" s="1"/>
  <c r="C152" i="28" s="1"/>
  <c r="C153" i="28" s="1"/>
  <c r="C154" i="28" s="1"/>
  <c r="C155" i="28" s="1"/>
  <c r="M19" i="28"/>
  <c r="N19" i="28" s="1"/>
  <c r="K19" i="28"/>
  <c r="L19" i="28" s="1"/>
  <c r="D95" i="27"/>
  <c r="D94" i="27"/>
  <c r="C100" i="27" s="1"/>
  <c r="C101" i="27" s="1"/>
  <c r="C102" i="27" s="1"/>
  <c r="C103" i="27" s="1"/>
  <c r="C104" i="27" s="1"/>
  <c r="C105" i="27" s="1"/>
  <c r="C106" i="27" s="1"/>
  <c r="C107" i="27" s="1"/>
  <c r="C108" i="27" s="1"/>
  <c r="C109" i="27" s="1"/>
  <c r="C110" i="27" s="1"/>
  <c r="C111" i="27" s="1"/>
  <c r="C112" i="27" s="1"/>
  <c r="C113" i="27" s="1"/>
  <c r="C114" i="27" s="1"/>
  <c r="C115" i="27" s="1"/>
  <c r="C116" i="27" s="1"/>
  <c r="C117" i="27" s="1"/>
  <c r="C118" i="27" s="1"/>
  <c r="C119" i="27" s="1"/>
  <c r="C120" i="27" s="1"/>
  <c r="C121" i="27" s="1"/>
  <c r="C122" i="27" s="1"/>
  <c r="C123" i="27" s="1"/>
  <c r="C124" i="27" s="1"/>
  <c r="C125" i="27" s="1"/>
  <c r="C126" i="27" s="1"/>
  <c r="C127" i="27" s="1"/>
  <c r="C128" i="27" s="1"/>
  <c r="C129" i="27" s="1"/>
  <c r="C130" i="27" s="1"/>
  <c r="C131" i="27" s="1"/>
  <c r="C132" i="27" s="1"/>
  <c r="C133" i="27" s="1"/>
  <c r="C134" i="27" s="1"/>
  <c r="C135" i="27" s="1"/>
  <c r="C136" i="27" s="1"/>
  <c r="C137" i="27" s="1"/>
  <c r="C138" i="27" s="1"/>
  <c r="C139" i="27" s="1"/>
  <c r="C140" i="27" s="1"/>
  <c r="C141" i="27" s="1"/>
  <c r="C142" i="27" s="1"/>
  <c r="C143" i="27" s="1"/>
  <c r="C144" i="27" s="1"/>
  <c r="C145" i="27" s="1"/>
  <c r="C146" i="27" s="1"/>
  <c r="C147" i="27" s="1"/>
  <c r="C148" i="27" s="1"/>
  <c r="C149" i="27" s="1"/>
  <c r="C150" i="27" s="1"/>
  <c r="C151" i="27" s="1"/>
  <c r="C152" i="27" s="1"/>
  <c r="C153" i="27" s="1"/>
  <c r="C154" i="27" s="1"/>
  <c r="C155" i="27" s="1"/>
  <c r="B20" i="27"/>
  <c r="B19" i="27"/>
  <c r="B18" i="27"/>
  <c r="B17" i="27"/>
  <c r="M19" i="27"/>
  <c r="N19" i="27" s="1"/>
  <c r="K19" i="27"/>
  <c r="L19" i="27" s="1"/>
  <c r="M18" i="27"/>
  <c r="N18" i="27" s="1"/>
  <c r="K18" i="27"/>
  <c r="L18" i="27" s="1"/>
  <c r="B101" i="26"/>
  <c r="D95" i="26"/>
  <c r="D94" i="26"/>
  <c r="C100" i="26" s="1"/>
  <c r="C101" i="26" s="1"/>
  <c r="C102" i="26" s="1"/>
  <c r="C103" i="26" s="1"/>
  <c r="C104" i="26" s="1"/>
  <c r="C105" i="26" s="1"/>
  <c r="C106" i="26" s="1"/>
  <c r="C107" i="26" s="1"/>
  <c r="C108" i="26" s="1"/>
  <c r="C109" i="26" s="1"/>
  <c r="C110" i="26" s="1"/>
  <c r="C111" i="26" s="1"/>
  <c r="C112" i="26" s="1"/>
  <c r="C113" i="26" s="1"/>
  <c r="C114" i="26" s="1"/>
  <c r="C115" i="26" s="1"/>
  <c r="C116" i="26" s="1"/>
  <c r="C117" i="26" s="1"/>
  <c r="C118" i="26" s="1"/>
  <c r="C119" i="26" s="1"/>
  <c r="C120" i="26" s="1"/>
  <c r="C121" i="26" s="1"/>
  <c r="C122" i="26" s="1"/>
  <c r="C123" i="26" s="1"/>
  <c r="C124" i="26" s="1"/>
  <c r="C125" i="26" s="1"/>
  <c r="C126" i="26" s="1"/>
  <c r="C127" i="26" s="1"/>
  <c r="C128" i="26" s="1"/>
  <c r="C129" i="26" s="1"/>
  <c r="C130" i="26" s="1"/>
  <c r="C131" i="26" s="1"/>
  <c r="C132" i="26" s="1"/>
  <c r="C133" i="26" s="1"/>
  <c r="C134" i="26" s="1"/>
  <c r="C135" i="26" s="1"/>
  <c r="C136" i="26" s="1"/>
  <c r="C137" i="26" s="1"/>
  <c r="C138" i="26" s="1"/>
  <c r="C139" i="26" s="1"/>
  <c r="C140" i="26" s="1"/>
  <c r="C141" i="26" s="1"/>
  <c r="C142" i="26" s="1"/>
  <c r="C143" i="26" s="1"/>
  <c r="C144" i="26" s="1"/>
  <c r="C145" i="26" s="1"/>
  <c r="C146" i="26" s="1"/>
  <c r="C147" i="26" s="1"/>
  <c r="C148" i="26" s="1"/>
  <c r="C149" i="26" s="1"/>
  <c r="C150" i="26" s="1"/>
  <c r="C151" i="26" s="1"/>
  <c r="C152" i="26" s="1"/>
  <c r="C153" i="26" s="1"/>
  <c r="C154" i="26" s="1"/>
  <c r="C155" i="26" s="1"/>
  <c r="B18" i="26"/>
  <c r="B17" i="26"/>
  <c r="B20" i="24"/>
  <c r="B19" i="24"/>
  <c r="B18" i="24"/>
  <c r="B17" i="24"/>
  <c r="B19" i="26"/>
  <c r="M18" i="26"/>
  <c r="N18" i="26" s="1"/>
  <c r="K18" i="26"/>
  <c r="L18" i="26" s="1"/>
  <c r="D95" i="24"/>
  <c r="D94" i="24"/>
  <c r="C100" i="24" s="1"/>
  <c r="C101" i="24" s="1"/>
  <c r="C102" i="24" s="1"/>
  <c r="C103" i="24" s="1"/>
  <c r="C104" i="24" s="1"/>
  <c r="C105" i="24" s="1"/>
  <c r="C106" i="24" s="1"/>
  <c r="C107" i="24" s="1"/>
  <c r="C108" i="24" s="1"/>
  <c r="C109" i="24" s="1"/>
  <c r="C110" i="24" s="1"/>
  <c r="C111" i="24" s="1"/>
  <c r="C112" i="24" s="1"/>
  <c r="C113" i="24" s="1"/>
  <c r="C114" i="24" s="1"/>
  <c r="C115" i="24" s="1"/>
  <c r="C116" i="24" s="1"/>
  <c r="C117" i="24" s="1"/>
  <c r="C118" i="24" s="1"/>
  <c r="C119" i="24" s="1"/>
  <c r="C120" i="24" s="1"/>
  <c r="C121" i="24" s="1"/>
  <c r="C122" i="24" s="1"/>
  <c r="C123" i="24" s="1"/>
  <c r="C124" i="24" s="1"/>
  <c r="C125" i="24" s="1"/>
  <c r="C126" i="24" s="1"/>
  <c r="C127" i="24" s="1"/>
  <c r="C128" i="24" s="1"/>
  <c r="C129" i="24" s="1"/>
  <c r="C130" i="24" s="1"/>
  <c r="C131" i="24" s="1"/>
  <c r="C132" i="24" s="1"/>
  <c r="C133" i="24" s="1"/>
  <c r="C134" i="24" s="1"/>
  <c r="C135" i="24" s="1"/>
  <c r="C136" i="24" s="1"/>
  <c r="C137" i="24" s="1"/>
  <c r="C138" i="24" s="1"/>
  <c r="C139" i="24" s="1"/>
  <c r="C140" i="24" s="1"/>
  <c r="C141" i="24" s="1"/>
  <c r="C142" i="24" s="1"/>
  <c r="C143" i="24" s="1"/>
  <c r="C144" i="24" s="1"/>
  <c r="C145" i="24" s="1"/>
  <c r="C146" i="24" s="1"/>
  <c r="C147" i="24" s="1"/>
  <c r="C148" i="24" s="1"/>
  <c r="C149" i="24" s="1"/>
  <c r="C150" i="24" s="1"/>
  <c r="C151" i="24" s="1"/>
  <c r="C152" i="24" s="1"/>
  <c r="C153" i="24" s="1"/>
  <c r="C154" i="24" s="1"/>
  <c r="C155" i="24" s="1"/>
  <c r="M19" i="24"/>
  <c r="N19" i="24" s="1"/>
  <c r="K19" i="24"/>
  <c r="L19" i="24" s="1"/>
  <c r="B17" i="25"/>
  <c r="B19" i="23"/>
  <c r="B18" i="23"/>
  <c r="B17" i="23"/>
  <c r="B18" i="25"/>
  <c r="M17" i="25"/>
  <c r="N17" i="25" s="1"/>
  <c r="K17" i="25"/>
  <c r="L17" i="25" s="1"/>
  <c r="N100" i="23"/>
  <c r="O100" i="23" s="1"/>
  <c r="L100" i="23"/>
  <c r="M100" i="23" s="1"/>
  <c r="M18" i="23"/>
  <c r="N18" i="23" s="1"/>
  <c r="K18" i="23"/>
  <c r="L18" i="23" s="1"/>
  <c r="B101" i="22"/>
  <c r="N100" i="22"/>
  <c r="O100" i="22" s="1"/>
  <c r="L100" i="22"/>
  <c r="M100" i="22" s="1"/>
  <c r="B102" i="27"/>
  <c r="B19" i="22"/>
  <c r="M18" i="22"/>
  <c r="N18" i="22" s="1"/>
  <c r="K18" i="22"/>
  <c r="L18" i="22" s="1"/>
  <c r="M19" i="21"/>
  <c r="N19" i="21" s="1"/>
  <c r="K19" i="21"/>
  <c r="L19" i="21" s="1"/>
  <c r="N103" i="19"/>
  <c r="O103" i="19" s="1"/>
  <c r="L103" i="19"/>
  <c r="M103" i="19" s="1"/>
  <c r="M21" i="19"/>
  <c r="N21" i="19" s="1"/>
  <c r="K21" i="19"/>
  <c r="L21" i="19" s="1"/>
  <c r="N103" i="18"/>
  <c r="O103" i="18" s="1"/>
  <c r="L103" i="18"/>
  <c r="M103" i="18" s="1"/>
  <c r="M21" i="18"/>
  <c r="N21" i="18" s="1"/>
  <c r="K21" i="18"/>
  <c r="L21" i="18" s="1"/>
  <c r="N104" i="4"/>
  <c r="O104" i="4" s="1"/>
  <c r="L104" i="4"/>
  <c r="M104" i="4" s="1"/>
  <c r="M22" i="4"/>
  <c r="N22" i="4" s="1"/>
  <c r="K22" i="4"/>
  <c r="L22" i="4" s="1"/>
  <c r="N104" i="3"/>
  <c r="O104" i="3" s="1"/>
  <c r="M22" i="3"/>
  <c r="N22" i="3" s="1"/>
  <c r="K22" i="3"/>
  <c r="L22" i="3" s="1"/>
  <c r="W30" i="17"/>
  <c r="W29" i="17"/>
  <c r="M18" i="28"/>
  <c r="N18" i="28" s="1"/>
  <c r="K18" i="28"/>
  <c r="L18" i="28" s="1"/>
  <c r="P155" i="28"/>
  <c r="O155" i="28"/>
  <c r="M155" i="28"/>
  <c r="P154" i="28"/>
  <c r="O154" i="28"/>
  <c r="M154" i="28"/>
  <c r="P153" i="28"/>
  <c r="O153" i="28"/>
  <c r="M153" i="28"/>
  <c r="P152" i="28"/>
  <c r="O152" i="28"/>
  <c r="M152" i="28"/>
  <c r="P151" i="28"/>
  <c r="O151" i="28"/>
  <c r="M151" i="28"/>
  <c r="P150" i="28"/>
  <c r="O150" i="28"/>
  <c r="M150" i="28"/>
  <c r="P149" i="28"/>
  <c r="O149" i="28"/>
  <c r="M149" i="28"/>
  <c r="P148" i="28"/>
  <c r="O148" i="28"/>
  <c r="M148" i="28"/>
  <c r="P147" i="28"/>
  <c r="O147" i="28"/>
  <c r="M147" i="28"/>
  <c r="P146" i="28"/>
  <c r="O146" i="28"/>
  <c r="M146" i="28"/>
  <c r="P145" i="28"/>
  <c r="O145" i="28"/>
  <c r="M145" i="28"/>
  <c r="P144" i="28"/>
  <c r="O144" i="28"/>
  <c r="M144" i="28"/>
  <c r="P143" i="28"/>
  <c r="O143" i="28"/>
  <c r="M143" i="28"/>
  <c r="P142" i="28"/>
  <c r="O142" i="28"/>
  <c r="M142" i="28"/>
  <c r="P141" i="28"/>
  <c r="O141" i="28"/>
  <c r="M141" i="28"/>
  <c r="P140" i="28"/>
  <c r="O140" i="28"/>
  <c r="M140" i="28"/>
  <c r="P139" i="28"/>
  <c r="O139" i="28"/>
  <c r="M139" i="28"/>
  <c r="P138" i="28"/>
  <c r="O138" i="28"/>
  <c r="M138" i="28"/>
  <c r="P137" i="28"/>
  <c r="O137" i="28"/>
  <c r="M137" i="28"/>
  <c r="P136" i="28"/>
  <c r="O136" i="28"/>
  <c r="M136" i="28"/>
  <c r="P135" i="28"/>
  <c r="O135" i="28"/>
  <c r="M135" i="28"/>
  <c r="P134" i="28"/>
  <c r="O134" i="28"/>
  <c r="M134" i="28"/>
  <c r="P133" i="28"/>
  <c r="O133" i="28"/>
  <c r="M133" i="28"/>
  <c r="P132" i="28"/>
  <c r="O132" i="28"/>
  <c r="M132" i="28"/>
  <c r="O131" i="28"/>
  <c r="M131" i="28"/>
  <c r="O130" i="28"/>
  <c r="M130" i="28"/>
  <c r="O129" i="28"/>
  <c r="M129" i="28"/>
  <c r="O128" i="28"/>
  <c r="M128" i="28"/>
  <c r="O127" i="28"/>
  <c r="M127" i="28"/>
  <c r="O126" i="28"/>
  <c r="M126" i="28"/>
  <c r="O125" i="28"/>
  <c r="M125" i="28"/>
  <c r="O124" i="28"/>
  <c r="M124" i="28"/>
  <c r="O123" i="28"/>
  <c r="M123" i="28"/>
  <c r="O122" i="28"/>
  <c r="M122" i="28"/>
  <c r="O121" i="28"/>
  <c r="M121" i="28"/>
  <c r="O120" i="28"/>
  <c r="M120" i="28"/>
  <c r="O119" i="28"/>
  <c r="M119" i="28"/>
  <c r="O118" i="28"/>
  <c r="M118" i="28"/>
  <c r="O117" i="28"/>
  <c r="M117" i="28"/>
  <c r="O116" i="28"/>
  <c r="M116" i="28"/>
  <c r="O115" i="28"/>
  <c r="M115" i="28"/>
  <c r="O114" i="28"/>
  <c r="M114" i="28"/>
  <c r="O113" i="28"/>
  <c r="M113" i="28"/>
  <c r="O112" i="28"/>
  <c r="M112" i="28"/>
  <c r="O111" i="28"/>
  <c r="M111" i="28"/>
  <c r="O110" i="28"/>
  <c r="M110" i="28"/>
  <c r="O109" i="28"/>
  <c r="M109" i="28"/>
  <c r="O108" i="28"/>
  <c r="M108" i="28"/>
  <c r="O107" i="28"/>
  <c r="M107" i="28"/>
  <c r="O106" i="28"/>
  <c r="O101" i="28"/>
  <c r="M101" i="28"/>
  <c r="O100" i="28"/>
  <c r="M100" i="28"/>
  <c r="D97" i="28"/>
  <c r="L94" i="28"/>
  <c r="J94" i="28"/>
  <c r="D92" i="28"/>
  <c r="D91" i="28"/>
  <c r="D90" i="28"/>
  <c r="N73" i="28"/>
  <c r="L73" i="28"/>
  <c r="N72" i="28"/>
  <c r="L72" i="28"/>
  <c r="N71" i="28"/>
  <c r="L71" i="28"/>
  <c r="N70" i="28"/>
  <c r="L70" i="28"/>
  <c r="N69" i="28"/>
  <c r="L69" i="28"/>
  <c r="N68" i="28"/>
  <c r="L68" i="28"/>
  <c r="N67" i="28"/>
  <c r="L67" i="28"/>
  <c r="N66" i="28"/>
  <c r="L66" i="28"/>
  <c r="N65" i="28"/>
  <c r="L65" i="28"/>
  <c r="N64" i="28"/>
  <c r="L64" i="28"/>
  <c r="N63" i="28"/>
  <c r="L63" i="28"/>
  <c r="N62" i="28"/>
  <c r="L62" i="28"/>
  <c r="N61" i="28"/>
  <c r="L61" i="28"/>
  <c r="N60" i="28"/>
  <c r="L60" i="28"/>
  <c r="N59" i="28"/>
  <c r="L59" i="28"/>
  <c r="N58" i="28"/>
  <c r="L58" i="28"/>
  <c r="N57" i="28"/>
  <c r="L57" i="28"/>
  <c r="N56" i="28"/>
  <c r="L56" i="28"/>
  <c r="N55" i="28"/>
  <c r="L55" i="28"/>
  <c r="N54" i="28"/>
  <c r="L54" i="28"/>
  <c r="N53" i="28"/>
  <c r="L53" i="28"/>
  <c r="N52" i="28"/>
  <c r="L52" i="28"/>
  <c r="N51" i="28"/>
  <c r="L51" i="28"/>
  <c r="N50" i="28"/>
  <c r="L50" i="28"/>
  <c r="N49" i="28"/>
  <c r="L49" i="28"/>
  <c r="N48" i="28"/>
  <c r="L48" i="28"/>
  <c r="N47" i="28"/>
  <c r="L47" i="28"/>
  <c r="N46" i="28"/>
  <c r="L46" i="28"/>
  <c r="N45" i="28"/>
  <c r="L45" i="28"/>
  <c r="N44" i="28"/>
  <c r="L44" i="28"/>
  <c r="N43" i="28"/>
  <c r="L43" i="28"/>
  <c r="N42" i="28"/>
  <c r="L42" i="28"/>
  <c r="N41" i="28"/>
  <c r="L41" i="28"/>
  <c r="N40" i="28"/>
  <c r="L40" i="28"/>
  <c r="N39" i="28"/>
  <c r="L39" i="28"/>
  <c r="N38" i="28"/>
  <c r="L38" i="28"/>
  <c r="N37" i="28"/>
  <c r="L37" i="28"/>
  <c r="N36" i="28"/>
  <c r="L36" i="28"/>
  <c r="N35" i="28"/>
  <c r="L35" i="28"/>
  <c r="N34" i="28"/>
  <c r="L34" i="28"/>
  <c r="N31" i="28"/>
  <c r="L31" i="28"/>
  <c r="N30" i="28"/>
  <c r="L30" i="28"/>
  <c r="N29" i="28"/>
  <c r="L29" i="28"/>
  <c r="N28" i="28"/>
  <c r="L28" i="28"/>
  <c r="N27" i="28"/>
  <c r="L27" i="28"/>
  <c r="N26" i="28"/>
  <c r="L26" i="28"/>
  <c r="N25" i="28"/>
  <c r="L25" i="28"/>
  <c r="N24" i="28"/>
  <c r="N23" i="28"/>
  <c r="C17" i="28"/>
  <c r="C18" i="28" s="1"/>
  <c r="C19" i="28" s="1"/>
  <c r="C20" i="28" s="1"/>
  <c r="C21" i="28" s="1"/>
  <c r="C22" i="28" s="1"/>
  <c r="C23" i="28" s="1"/>
  <c r="C24" i="28" s="1"/>
  <c r="C25" i="28" s="1"/>
  <c r="C26" i="28" s="1"/>
  <c r="C27" i="28" s="1"/>
  <c r="C28" i="28" s="1"/>
  <c r="C29" i="28" s="1"/>
  <c r="C30" i="28" s="1"/>
  <c r="C31" i="28" s="1"/>
  <c r="C32" i="28" s="1"/>
  <c r="K11" i="28"/>
  <c r="I11" i="28"/>
  <c r="M17" i="27"/>
  <c r="N17" i="27" s="1"/>
  <c r="K17" i="27"/>
  <c r="L17" i="27" s="1"/>
  <c r="M17" i="26"/>
  <c r="N17" i="26" s="1"/>
  <c r="K17" i="26"/>
  <c r="L17" i="26" s="1"/>
  <c r="M18" i="24"/>
  <c r="N18" i="24" s="1"/>
  <c r="K18" i="24"/>
  <c r="L18" i="24" s="1"/>
  <c r="M17" i="24"/>
  <c r="N17" i="24" s="1"/>
  <c r="K17" i="24"/>
  <c r="L17" i="24" s="1"/>
  <c r="N102" i="18"/>
  <c r="O102" i="18" s="1"/>
  <c r="L102" i="18"/>
  <c r="M102" i="18" s="1"/>
  <c r="W26" i="17"/>
  <c r="W27" i="17"/>
  <c r="W28" i="17"/>
  <c r="P155" i="27"/>
  <c r="O155" i="27"/>
  <c r="M155" i="27"/>
  <c r="P154" i="27"/>
  <c r="O154" i="27"/>
  <c r="M154" i="27"/>
  <c r="P153" i="27"/>
  <c r="O153" i="27"/>
  <c r="M153" i="27"/>
  <c r="P152" i="27"/>
  <c r="O152" i="27"/>
  <c r="M152" i="27"/>
  <c r="P151" i="27"/>
  <c r="O151" i="27"/>
  <c r="M151" i="27"/>
  <c r="P150" i="27"/>
  <c r="O150" i="27"/>
  <c r="M150" i="27"/>
  <c r="P149" i="27"/>
  <c r="O149" i="27"/>
  <c r="M149" i="27"/>
  <c r="P148" i="27"/>
  <c r="O148" i="27"/>
  <c r="M148" i="27"/>
  <c r="P147" i="27"/>
  <c r="O147" i="27"/>
  <c r="M147" i="27"/>
  <c r="P146" i="27"/>
  <c r="O146" i="27"/>
  <c r="M146" i="27"/>
  <c r="P145" i="27"/>
  <c r="O145" i="27"/>
  <c r="M145" i="27"/>
  <c r="P144" i="27"/>
  <c r="O144" i="27"/>
  <c r="M144" i="27"/>
  <c r="P143" i="27"/>
  <c r="O143" i="27"/>
  <c r="M143" i="27"/>
  <c r="P142" i="27"/>
  <c r="O142" i="27"/>
  <c r="M142" i="27"/>
  <c r="P141" i="27"/>
  <c r="O141" i="27"/>
  <c r="M141" i="27"/>
  <c r="P140" i="27"/>
  <c r="O140" i="27"/>
  <c r="M140" i="27"/>
  <c r="P139" i="27"/>
  <c r="O139" i="27"/>
  <c r="M139" i="27"/>
  <c r="P138" i="27"/>
  <c r="O138" i="27"/>
  <c r="M138" i="27"/>
  <c r="P137" i="27"/>
  <c r="O137" i="27"/>
  <c r="M137" i="27"/>
  <c r="P136" i="27"/>
  <c r="O136" i="27"/>
  <c r="M136" i="27"/>
  <c r="P135" i="27"/>
  <c r="O135" i="27"/>
  <c r="M135" i="27"/>
  <c r="P134" i="27"/>
  <c r="O134" i="27"/>
  <c r="M134" i="27"/>
  <c r="P133" i="27"/>
  <c r="O133" i="27"/>
  <c r="M133" i="27"/>
  <c r="P132" i="27"/>
  <c r="O132" i="27"/>
  <c r="M132" i="27"/>
  <c r="O131" i="27"/>
  <c r="M131" i="27"/>
  <c r="O130" i="27"/>
  <c r="M130" i="27"/>
  <c r="O129" i="27"/>
  <c r="M129" i="27"/>
  <c r="O128" i="27"/>
  <c r="M128" i="27"/>
  <c r="O127" i="27"/>
  <c r="M127" i="27"/>
  <c r="O126" i="27"/>
  <c r="M126" i="27"/>
  <c r="O125" i="27"/>
  <c r="M125" i="27"/>
  <c r="O124" i="27"/>
  <c r="M124" i="27"/>
  <c r="O123" i="27"/>
  <c r="M123" i="27"/>
  <c r="O122" i="27"/>
  <c r="M122" i="27"/>
  <c r="O121" i="27"/>
  <c r="M121" i="27"/>
  <c r="O120" i="27"/>
  <c r="M120" i="27"/>
  <c r="O119" i="27"/>
  <c r="M119" i="27"/>
  <c r="O118" i="27"/>
  <c r="M118" i="27"/>
  <c r="O117" i="27"/>
  <c r="M117" i="27"/>
  <c r="O116" i="27"/>
  <c r="M116" i="27"/>
  <c r="O115" i="27"/>
  <c r="M115" i="27"/>
  <c r="O114" i="27"/>
  <c r="M114" i="27"/>
  <c r="O113" i="27"/>
  <c r="M113" i="27"/>
  <c r="O112" i="27"/>
  <c r="M112" i="27"/>
  <c r="O111" i="27"/>
  <c r="M111" i="27"/>
  <c r="O110" i="27"/>
  <c r="M110" i="27"/>
  <c r="O109" i="27"/>
  <c r="M109" i="27"/>
  <c r="O107" i="27"/>
  <c r="O106" i="27"/>
  <c r="O101" i="27"/>
  <c r="P101" i="27" s="1"/>
  <c r="O100" i="27"/>
  <c r="M100" i="27"/>
  <c r="D97" i="27"/>
  <c r="L94" i="27"/>
  <c r="J94" i="27"/>
  <c r="D92" i="27"/>
  <c r="D90"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L46" i="27"/>
  <c r="N45" i="27"/>
  <c r="L45" i="27"/>
  <c r="N44" i="27"/>
  <c r="L44" i="27"/>
  <c r="N43" i="27"/>
  <c r="L43" i="27"/>
  <c r="N42" i="27"/>
  <c r="L42" i="27"/>
  <c r="N41" i="27"/>
  <c r="L41" i="27"/>
  <c r="N40" i="27"/>
  <c r="L40" i="27"/>
  <c r="N39" i="27"/>
  <c r="L39" i="27"/>
  <c r="N38" i="27"/>
  <c r="L38" i="27"/>
  <c r="N37" i="27"/>
  <c r="L37" i="27"/>
  <c r="N36" i="27"/>
  <c r="L36" i="27"/>
  <c r="N35" i="27"/>
  <c r="L35" i="27"/>
  <c r="N34" i="27"/>
  <c r="L34" i="27"/>
  <c r="N31" i="27"/>
  <c r="L31" i="27"/>
  <c r="N30" i="27"/>
  <c r="L30" i="27"/>
  <c r="N29" i="27"/>
  <c r="L29" i="27"/>
  <c r="N28" i="27"/>
  <c r="L28" i="27"/>
  <c r="N27" i="27"/>
  <c r="L27" i="27"/>
  <c r="N26" i="27"/>
  <c r="N25" i="27"/>
  <c r="C17" i="27"/>
  <c r="C18" i="27" s="1"/>
  <c r="C19" i="27" s="1"/>
  <c r="C20" i="27" s="1"/>
  <c r="C21" i="27" s="1"/>
  <c r="C22" i="27" s="1"/>
  <c r="C23" i="27" s="1"/>
  <c r="C24" i="27" s="1"/>
  <c r="C25" i="27" s="1"/>
  <c r="C26" i="27" s="1"/>
  <c r="C27" i="27" s="1"/>
  <c r="C28" i="27" s="1"/>
  <c r="C29" i="27" s="1"/>
  <c r="C30" i="27" s="1"/>
  <c r="C31" i="27" s="1"/>
  <c r="C32" i="27" s="1"/>
  <c r="K11" i="27"/>
  <c r="I11" i="27"/>
  <c r="D91" i="27"/>
  <c r="P155" i="26"/>
  <c r="O155" i="26"/>
  <c r="M155" i="26"/>
  <c r="P154" i="26"/>
  <c r="O154" i="26"/>
  <c r="M154" i="26"/>
  <c r="P153" i="26"/>
  <c r="O153" i="26"/>
  <c r="M153" i="26"/>
  <c r="P152" i="26"/>
  <c r="O152" i="26"/>
  <c r="M152" i="26"/>
  <c r="P151" i="26"/>
  <c r="O151" i="26"/>
  <c r="M151" i="26"/>
  <c r="P150" i="26"/>
  <c r="O150" i="26"/>
  <c r="M150" i="26"/>
  <c r="P149" i="26"/>
  <c r="O149" i="26"/>
  <c r="M149" i="26"/>
  <c r="P148" i="26"/>
  <c r="O148" i="26"/>
  <c r="M148" i="26"/>
  <c r="P147" i="26"/>
  <c r="O147" i="26"/>
  <c r="M147" i="26"/>
  <c r="P146" i="26"/>
  <c r="O146" i="26"/>
  <c r="M146" i="26"/>
  <c r="P145" i="26"/>
  <c r="O145" i="26"/>
  <c r="M145" i="26"/>
  <c r="P144" i="26"/>
  <c r="O144" i="26"/>
  <c r="M144" i="26"/>
  <c r="P143" i="26"/>
  <c r="O143" i="26"/>
  <c r="M143" i="26"/>
  <c r="P142" i="26"/>
  <c r="O142" i="26"/>
  <c r="M142" i="26"/>
  <c r="P141" i="26"/>
  <c r="O141" i="26"/>
  <c r="M141" i="26"/>
  <c r="P140" i="26"/>
  <c r="O140" i="26"/>
  <c r="M140" i="26"/>
  <c r="P139" i="26"/>
  <c r="O139" i="26"/>
  <c r="M139" i="26"/>
  <c r="P138" i="26"/>
  <c r="O138" i="26"/>
  <c r="M138" i="26"/>
  <c r="P137" i="26"/>
  <c r="O137" i="26"/>
  <c r="M137" i="26"/>
  <c r="P136" i="26"/>
  <c r="O136" i="26"/>
  <c r="M136" i="26"/>
  <c r="P135" i="26"/>
  <c r="O135" i="26"/>
  <c r="M135" i="26"/>
  <c r="P134" i="26"/>
  <c r="O134" i="26"/>
  <c r="M134" i="26"/>
  <c r="P133" i="26"/>
  <c r="O133" i="26"/>
  <c r="M133" i="26"/>
  <c r="P132" i="26"/>
  <c r="O132" i="26"/>
  <c r="M132" i="26"/>
  <c r="O131" i="26"/>
  <c r="M131" i="26"/>
  <c r="O130" i="26"/>
  <c r="M130" i="26"/>
  <c r="O129" i="26"/>
  <c r="M129" i="26"/>
  <c r="O128" i="26"/>
  <c r="M128" i="26"/>
  <c r="O127" i="26"/>
  <c r="M127" i="26"/>
  <c r="O126" i="26"/>
  <c r="M126" i="26"/>
  <c r="O125" i="26"/>
  <c r="M125" i="26"/>
  <c r="O124" i="26"/>
  <c r="M124" i="26"/>
  <c r="O123" i="26"/>
  <c r="M123" i="26"/>
  <c r="O122" i="26"/>
  <c r="M122" i="26"/>
  <c r="O121" i="26"/>
  <c r="M121" i="26"/>
  <c r="O120" i="26"/>
  <c r="M120" i="26"/>
  <c r="O119" i="26"/>
  <c r="M119" i="26"/>
  <c r="O118" i="26"/>
  <c r="M118" i="26"/>
  <c r="O117" i="26"/>
  <c r="M117" i="26"/>
  <c r="O116" i="26"/>
  <c r="M116" i="26"/>
  <c r="O115" i="26"/>
  <c r="M115" i="26"/>
  <c r="O114" i="26"/>
  <c r="M114" i="26"/>
  <c r="O113" i="26"/>
  <c r="M113" i="26"/>
  <c r="O112" i="26"/>
  <c r="M112" i="26"/>
  <c r="O111" i="26"/>
  <c r="M111" i="26"/>
  <c r="O110" i="26"/>
  <c r="M110" i="26"/>
  <c r="O109" i="26"/>
  <c r="M109" i="26"/>
  <c r="O107" i="26"/>
  <c r="O106" i="26"/>
  <c r="O105" i="26"/>
  <c r="O100" i="26"/>
  <c r="M100" i="26"/>
  <c r="D97" i="26"/>
  <c r="L94" i="26"/>
  <c r="J94" i="26"/>
  <c r="D92" i="26"/>
  <c r="D91" i="26"/>
  <c r="D90" i="26"/>
  <c r="N73" i="26"/>
  <c r="L73" i="26"/>
  <c r="N72" i="26"/>
  <c r="L72" i="26"/>
  <c r="N71" i="26"/>
  <c r="L71" i="26"/>
  <c r="N70" i="26"/>
  <c r="L70" i="26"/>
  <c r="N69" i="26"/>
  <c r="L69" i="26"/>
  <c r="N68" i="26"/>
  <c r="L68" i="26"/>
  <c r="N67" i="26"/>
  <c r="L67" i="26"/>
  <c r="N66" i="26"/>
  <c r="L66" i="26"/>
  <c r="N65" i="26"/>
  <c r="L65" i="26"/>
  <c r="N64" i="26"/>
  <c r="L64" i="26"/>
  <c r="N63" i="26"/>
  <c r="L63" i="26"/>
  <c r="N62" i="26"/>
  <c r="L62" i="26"/>
  <c r="N61" i="26"/>
  <c r="L61" i="26"/>
  <c r="N60" i="26"/>
  <c r="L60" i="26"/>
  <c r="N59" i="26"/>
  <c r="L59" i="26"/>
  <c r="N58" i="26"/>
  <c r="L58" i="26"/>
  <c r="N57" i="26"/>
  <c r="L57" i="26"/>
  <c r="N56" i="26"/>
  <c r="L56" i="26"/>
  <c r="N55" i="26"/>
  <c r="L55" i="26"/>
  <c r="N54" i="26"/>
  <c r="L54" i="26"/>
  <c r="N53" i="26"/>
  <c r="L53" i="26"/>
  <c r="N52" i="26"/>
  <c r="L52" i="26"/>
  <c r="N51" i="26"/>
  <c r="L51" i="26"/>
  <c r="N50" i="26"/>
  <c r="L50" i="26"/>
  <c r="N49" i="26"/>
  <c r="L49" i="26"/>
  <c r="N48" i="26"/>
  <c r="L48" i="26"/>
  <c r="N47" i="26"/>
  <c r="L47" i="26"/>
  <c r="N46" i="26"/>
  <c r="L46" i="26"/>
  <c r="N45" i="26"/>
  <c r="L45" i="26"/>
  <c r="N44" i="26"/>
  <c r="L44" i="26"/>
  <c r="N43" i="26"/>
  <c r="L43" i="26"/>
  <c r="N42" i="26"/>
  <c r="L42" i="26"/>
  <c r="N41" i="26"/>
  <c r="L41" i="26"/>
  <c r="N40" i="26"/>
  <c r="L40" i="26"/>
  <c r="N39" i="26"/>
  <c r="L39" i="26"/>
  <c r="N38" i="26"/>
  <c r="L38" i="26"/>
  <c r="N37" i="26"/>
  <c r="L37" i="26"/>
  <c r="N36" i="26"/>
  <c r="L36" i="26"/>
  <c r="N35" i="26"/>
  <c r="L35" i="26"/>
  <c r="N34" i="26"/>
  <c r="L34" i="26"/>
  <c r="N31" i="26"/>
  <c r="L31" i="26"/>
  <c r="N30" i="26"/>
  <c r="L30" i="26"/>
  <c r="N29" i="26"/>
  <c r="L29" i="26"/>
  <c r="N28" i="26"/>
  <c r="L28" i="26"/>
  <c r="N27" i="26"/>
  <c r="L27" i="26"/>
  <c r="N26" i="26"/>
  <c r="N25" i="26"/>
  <c r="N24" i="26"/>
  <c r="C17" i="26"/>
  <c r="C18" i="26" s="1"/>
  <c r="C19" i="26" s="1"/>
  <c r="C20" i="26" s="1"/>
  <c r="C21" i="26" s="1"/>
  <c r="C22" i="26" s="1"/>
  <c r="C23" i="26" s="1"/>
  <c r="C24" i="26" s="1"/>
  <c r="C25" i="26" s="1"/>
  <c r="C26" i="26" s="1"/>
  <c r="C27" i="26" s="1"/>
  <c r="C28" i="26" s="1"/>
  <c r="C29" i="26" s="1"/>
  <c r="C30" i="26" s="1"/>
  <c r="C31" i="26" s="1"/>
  <c r="C32" i="26" s="1"/>
  <c r="K11" i="26"/>
  <c r="I11" i="26"/>
  <c r="P155" i="25"/>
  <c r="O155" i="25"/>
  <c r="M155" i="25"/>
  <c r="J155" i="25"/>
  <c r="P154" i="25"/>
  <c r="O154" i="25"/>
  <c r="M154" i="25"/>
  <c r="J154" i="25"/>
  <c r="P153" i="25"/>
  <c r="O153" i="25"/>
  <c r="M153" i="25"/>
  <c r="J153" i="25"/>
  <c r="P152" i="25"/>
  <c r="O152" i="25"/>
  <c r="M152" i="25"/>
  <c r="J152" i="25"/>
  <c r="P151" i="25"/>
  <c r="O151" i="25"/>
  <c r="M151" i="25"/>
  <c r="J151" i="25"/>
  <c r="P150" i="25"/>
  <c r="O150" i="25"/>
  <c r="M150" i="25"/>
  <c r="J150" i="25"/>
  <c r="P149" i="25"/>
  <c r="O149" i="25"/>
  <c r="M149" i="25"/>
  <c r="J149" i="25"/>
  <c r="P148" i="25"/>
  <c r="O148" i="25"/>
  <c r="M148" i="25"/>
  <c r="J148" i="25"/>
  <c r="P147" i="25"/>
  <c r="O147" i="25"/>
  <c r="M147" i="25"/>
  <c r="J147" i="25"/>
  <c r="P146" i="25"/>
  <c r="O146" i="25"/>
  <c r="M146" i="25"/>
  <c r="J146" i="25"/>
  <c r="P145" i="25"/>
  <c r="O145" i="25"/>
  <c r="M145" i="25"/>
  <c r="J145" i="25"/>
  <c r="P144" i="25"/>
  <c r="O144" i="25"/>
  <c r="M144" i="25"/>
  <c r="J144" i="25"/>
  <c r="P143" i="25"/>
  <c r="O143" i="25"/>
  <c r="M143" i="25"/>
  <c r="J143" i="25"/>
  <c r="P142" i="25"/>
  <c r="O142" i="25"/>
  <c r="M142" i="25"/>
  <c r="J142" i="25"/>
  <c r="P141" i="25"/>
  <c r="O141" i="25"/>
  <c r="M141" i="25"/>
  <c r="J141" i="25"/>
  <c r="P140" i="25"/>
  <c r="O140" i="25"/>
  <c r="M140" i="25"/>
  <c r="J140" i="25"/>
  <c r="P139" i="25"/>
  <c r="O139" i="25"/>
  <c r="M139" i="25"/>
  <c r="J139" i="25"/>
  <c r="P138" i="25"/>
  <c r="O138" i="25"/>
  <c r="M138" i="25"/>
  <c r="J138" i="25"/>
  <c r="P137" i="25"/>
  <c r="O137" i="25"/>
  <c r="M137" i="25"/>
  <c r="J137" i="25"/>
  <c r="P136" i="25"/>
  <c r="O136" i="25"/>
  <c r="M136" i="25"/>
  <c r="J136" i="25"/>
  <c r="P135" i="25"/>
  <c r="O135" i="25"/>
  <c r="M135" i="25"/>
  <c r="J135" i="25"/>
  <c r="P134" i="25"/>
  <c r="O134" i="25"/>
  <c r="M134" i="25"/>
  <c r="J134" i="25"/>
  <c r="P133" i="25"/>
  <c r="O133" i="25"/>
  <c r="M133" i="25"/>
  <c r="J133" i="25"/>
  <c r="P132" i="25"/>
  <c r="O132" i="25"/>
  <c r="M132" i="25"/>
  <c r="J132" i="25"/>
  <c r="O131" i="25"/>
  <c r="M131" i="25"/>
  <c r="O130" i="25"/>
  <c r="M130" i="25"/>
  <c r="O129" i="25"/>
  <c r="M129" i="25"/>
  <c r="O128" i="25"/>
  <c r="M128" i="25"/>
  <c r="O127" i="25"/>
  <c r="M127" i="25"/>
  <c r="O126" i="25"/>
  <c r="M126" i="25"/>
  <c r="O125" i="25"/>
  <c r="M125" i="25"/>
  <c r="O124" i="25"/>
  <c r="M124" i="25"/>
  <c r="O123" i="25"/>
  <c r="M123" i="25"/>
  <c r="O122" i="25"/>
  <c r="M122" i="25"/>
  <c r="O121" i="25"/>
  <c r="M121" i="25"/>
  <c r="O120" i="25"/>
  <c r="M120" i="25"/>
  <c r="O119" i="25"/>
  <c r="M119" i="25"/>
  <c r="O118" i="25"/>
  <c r="M118" i="25"/>
  <c r="O117" i="25"/>
  <c r="M117" i="25"/>
  <c r="O116" i="25"/>
  <c r="M116" i="25"/>
  <c r="O115" i="25"/>
  <c r="M115" i="25"/>
  <c r="O114" i="25"/>
  <c r="M114" i="25"/>
  <c r="O113" i="25"/>
  <c r="M113" i="25"/>
  <c r="O112" i="25"/>
  <c r="M112" i="25"/>
  <c r="O111" i="25"/>
  <c r="M111" i="25"/>
  <c r="O110" i="25"/>
  <c r="M110" i="25"/>
  <c r="O109" i="25"/>
  <c r="M109" i="25"/>
  <c r="O108" i="25"/>
  <c r="M108" i="25"/>
  <c r="O106" i="25"/>
  <c r="O105" i="25"/>
  <c r="O104" i="25"/>
  <c r="D97" i="25"/>
  <c r="L94" i="25"/>
  <c r="J94" i="25"/>
  <c r="D92" i="25"/>
  <c r="D90" i="25"/>
  <c r="N73" i="25"/>
  <c r="L73" i="25"/>
  <c r="N72" i="25"/>
  <c r="L72" i="25"/>
  <c r="N71" i="25"/>
  <c r="L71" i="25"/>
  <c r="N70" i="25"/>
  <c r="L70" i="25"/>
  <c r="N69" i="25"/>
  <c r="L69" i="25"/>
  <c r="N68" i="25"/>
  <c r="L68" i="25"/>
  <c r="N67" i="25"/>
  <c r="L67" i="25"/>
  <c r="N66" i="25"/>
  <c r="L66" i="25"/>
  <c r="N65" i="25"/>
  <c r="L65" i="25"/>
  <c r="N64" i="25"/>
  <c r="L64" i="25"/>
  <c r="N63" i="25"/>
  <c r="L63" i="25"/>
  <c r="N62" i="25"/>
  <c r="L62" i="25"/>
  <c r="N61" i="25"/>
  <c r="L61" i="25"/>
  <c r="N60" i="25"/>
  <c r="L60" i="25"/>
  <c r="N59" i="25"/>
  <c r="L59" i="25"/>
  <c r="N58" i="25"/>
  <c r="L58" i="25"/>
  <c r="N57" i="25"/>
  <c r="L57" i="25"/>
  <c r="N56" i="25"/>
  <c r="L56" i="25"/>
  <c r="N55" i="25"/>
  <c r="L55" i="25"/>
  <c r="N54" i="25"/>
  <c r="L54" i="25"/>
  <c r="N53" i="25"/>
  <c r="L53" i="25"/>
  <c r="N52" i="25"/>
  <c r="L52" i="25"/>
  <c r="N51" i="25"/>
  <c r="L51" i="25"/>
  <c r="N50" i="25"/>
  <c r="L50" i="25"/>
  <c r="N49" i="25"/>
  <c r="L49" i="25"/>
  <c r="N48" i="25"/>
  <c r="L48" i="25"/>
  <c r="N47" i="25"/>
  <c r="L47" i="25"/>
  <c r="N46" i="25"/>
  <c r="L46" i="25"/>
  <c r="N45" i="25"/>
  <c r="L45" i="25"/>
  <c r="N44" i="25"/>
  <c r="L44" i="25"/>
  <c r="N43" i="25"/>
  <c r="L43" i="25"/>
  <c r="N42" i="25"/>
  <c r="L42" i="25"/>
  <c r="N41" i="25"/>
  <c r="L41" i="25"/>
  <c r="N40" i="25"/>
  <c r="L40" i="25"/>
  <c r="N39" i="25"/>
  <c r="L39" i="25"/>
  <c r="N38" i="25"/>
  <c r="L38" i="25"/>
  <c r="N37" i="25"/>
  <c r="L37" i="25"/>
  <c r="N36" i="25"/>
  <c r="L36" i="25"/>
  <c r="N35" i="25"/>
  <c r="L35" i="25"/>
  <c r="N34" i="25"/>
  <c r="L34" i="25"/>
  <c r="N31" i="25"/>
  <c r="L31" i="25"/>
  <c r="N30" i="25"/>
  <c r="L30" i="25"/>
  <c r="N29" i="25"/>
  <c r="L29" i="25"/>
  <c r="N28" i="25"/>
  <c r="L28" i="25"/>
  <c r="N27" i="25"/>
  <c r="L27" i="25"/>
  <c r="N26" i="25"/>
  <c r="L26" i="25"/>
  <c r="N25" i="25"/>
  <c r="N24" i="25"/>
  <c r="N23" i="25"/>
  <c r="N22" i="25"/>
  <c r="C17" i="25"/>
  <c r="C18" i="25" s="1"/>
  <c r="C19" i="25" s="1"/>
  <c r="C20" i="25" s="1"/>
  <c r="C21" i="25" s="1"/>
  <c r="C22" i="25" s="1"/>
  <c r="C23" i="25" s="1"/>
  <c r="C24" i="25" s="1"/>
  <c r="C25" i="25" s="1"/>
  <c r="C26" i="25" s="1"/>
  <c r="C27" i="25" s="1"/>
  <c r="C28" i="25" s="1"/>
  <c r="C29" i="25" s="1"/>
  <c r="C30" i="25" s="1"/>
  <c r="C31" i="25" s="1"/>
  <c r="C32" i="25" s="1"/>
  <c r="K11" i="25"/>
  <c r="I11" i="25"/>
  <c r="D8" i="25"/>
  <c r="D91" i="25" s="1"/>
  <c r="P155" i="24"/>
  <c r="O155" i="24"/>
  <c r="M155" i="24"/>
  <c r="P154" i="24"/>
  <c r="O154" i="24"/>
  <c r="M154" i="24"/>
  <c r="P153" i="24"/>
  <c r="O153" i="24"/>
  <c r="M153" i="24"/>
  <c r="P152" i="24"/>
  <c r="O152" i="24"/>
  <c r="M152" i="24"/>
  <c r="P151" i="24"/>
  <c r="O151" i="24"/>
  <c r="M151" i="24"/>
  <c r="P150" i="24"/>
  <c r="O150" i="24"/>
  <c r="M150" i="24"/>
  <c r="P149" i="24"/>
  <c r="O149" i="24"/>
  <c r="M149" i="24"/>
  <c r="P148" i="24"/>
  <c r="O148" i="24"/>
  <c r="M148" i="24"/>
  <c r="P147" i="24"/>
  <c r="O147" i="24"/>
  <c r="M147" i="24"/>
  <c r="P146" i="24"/>
  <c r="O146" i="24"/>
  <c r="M146" i="24"/>
  <c r="P145" i="24"/>
  <c r="O145" i="24"/>
  <c r="M145" i="24"/>
  <c r="P144" i="24"/>
  <c r="O144" i="24"/>
  <c r="M144" i="24"/>
  <c r="P143" i="24"/>
  <c r="O143" i="24"/>
  <c r="M143" i="24"/>
  <c r="P142" i="24"/>
  <c r="O142" i="24"/>
  <c r="M142" i="24"/>
  <c r="P141" i="24"/>
  <c r="O141" i="24"/>
  <c r="M141" i="24"/>
  <c r="P140" i="24"/>
  <c r="O140" i="24"/>
  <c r="M140" i="24"/>
  <c r="P139" i="24"/>
  <c r="O139" i="24"/>
  <c r="M139" i="24"/>
  <c r="P138" i="24"/>
  <c r="O138" i="24"/>
  <c r="M138" i="24"/>
  <c r="P137" i="24"/>
  <c r="O137" i="24"/>
  <c r="M137" i="24"/>
  <c r="P136" i="24"/>
  <c r="O136" i="24"/>
  <c r="M136" i="24"/>
  <c r="P135" i="24"/>
  <c r="O135" i="24"/>
  <c r="M135" i="24"/>
  <c r="P134" i="24"/>
  <c r="O134" i="24"/>
  <c r="M134" i="24"/>
  <c r="P133" i="24"/>
  <c r="O133" i="24"/>
  <c r="M133" i="24"/>
  <c r="P132" i="24"/>
  <c r="O132" i="24"/>
  <c r="M132" i="24"/>
  <c r="O131" i="24"/>
  <c r="M131" i="24"/>
  <c r="O130" i="24"/>
  <c r="M130" i="24"/>
  <c r="O129" i="24"/>
  <c r="M129" i="24"/>
  <c r="O128" i="24"/>
  <c r="M128" i="24"/>
  <c r="O127" i="24"/>
  <c r="M127" i="24"/>
  <c r="O126" i="24"/>
  <c r="M126" i="24"/>
  <c r="O125" i="24"/>
  <c r="M125" i="24"/>
  <c r="O124" i="24"/>
  <c r="M124" i="24"/>
  <c r="O123" i="24"/>
  <c r="M123" i="24"/>
  <c r="O122" i="24"/>
  <c r="M122" i="24"/>
  <c r="O121" i="24"/>
  <c r="M121" i="24"/>
  <c r="O120" i="24"/>
  <c r="M120" i="24"/>
  <c r="O119" i="24"/>
  <c r="M119" i="24"/>
  <c r="O118" i="24"/>
  <c r="M118" i="24"/>
  <c r="O117" i="24"/>
  <c r="M117" i="24"/>
  <c r="O116" i="24"/>
  <c r="M116" i="24"/>
  <c r="O115" i="24"/>
  <c r="M115" i="24"/>
  <c r="O114" i="24"/>
  <c r="M114" i="24"/>
  <c r="O113" i="24"/>
  <c r="M113" i="24"/>
  <c r="O112" i="24"/>
  <c r="M112" i="24"/>
  <c r="O111" i="24"/>
  <c r="M111" i="24"/>
  <c r="O110" i="24"/>
  <c r="M110" i="24"/>
  <c r="O108" i="24"/>
  <c r="O107" i="24"/>
  <c r="O101" i="24"/>
  <c r="M101" i="24"/>
  <c r="O100" i="24"/>
  <c r="M100" i="24"/>
  <c r="D97" i="24"/>
  <c r="L94" i="24"/>
  <c r="J94" i="24"/>
  <c r="D92" i="24"/>
  <c r="D90" i="24"/>
  <c r="N73" i="24"/>
  <c r="L73" i="24"/>
  <c r="N72" i="24"/>
  <c r="L72" i="24"/>
  <c r="N71" i="24"/>
  <c r="L71" i="24"/>
  <c r="N70" i="24"/>
  <c r="L70" i="24"/>
  <c r="N69" i="24"/>
  <c r="L69" i="24"/>
  <c r="N68" i="24"/>
  <c r="L68" i="24"/>
  <c r="N67" i="24"/>
  <c r="L67" i="24"/>
  <c r="N66" i="24"/>
  <c r="L66" i="24"/>
  <c r="N65" i="24"/>
  <c r="L65" i="24"/>
  <c r="N64" i="24"/>
  <c r="L64" i="24"/>
  <c r="N63" i="24"/>
  <c r="L63" i="24"/>
  <c r="N62" i="24"/>
  <c r="L62" i="24"/>
  <c r="N61" i="24"/>
  <c r="L61" i="24"/>
  <c r="N60" i="24"/>
  <c r="L60" i="24"/>
  <c r="N59" i="24"/>
  <c r="L59" i="24"/>
  <c r="N58" i="24"/>
  <c r="L58" i="24"/>
  <c r="N57" i="24"/>
  <c r="L57" i="24"/>
  <c r="N56" i="24"/>
  <c r="L56" i="24"/>
  <c r="N55" i="24"/>
  <c r="L55" i="24"/>
  <c r="N54" i="24"/>
  <c r="L54" i="24"/>
  <c r="N53" i="24"/>
  <c r="L53" i="24"/>
  <c r="N52" i="24"/>
  <c r="L52" i="24"/>
  <c r="N51" i="24"/>
  <c r="L51" i="24"/>
  <c r="N50" i="24"/>
  <c r="L50" i="24"/>
  <c r="N49" i="24"/>
  <c r="L49" i="24"/>
  <c r="N48" i="24"/>
  <c r="L48" i="24"/>
  <c r="N47" i="24"/>
  <c r="L47" i="24"/>
  <c r="N46" i="24"/>
  <c r="L46" i="24"/>
  <c r="N45" i="24"/>
  <c r="L45" i="24"/>
  <c r="N44" i="24"/>
  <c r="L44" i="24"/>
  <c r="N43" i="24"/>
  <c r="L43" i="24"/>
  <c r="N42" i="24"/>
  <c r="L42" i="24"/>
  <c r="N41" i="24"/>
  <c r="L41" i="24"/>
  <c r="N40" i="24"/>
  <c r="L40" i="24"/>
  <c r="N39" i="24"/>
  <c r="L39" i="24"/>
  <c r="N38" i="24"/>
  <c r="L38" i="24"/>
  <c r="N37" i="24"/>
  <c r="L37" i="24"/>
  <c r="N36" i="24"/>
  <c r="L36" i="24"/>
  <c r="N35" i="24"/>
  <c r="L35" i="24"/>
  <c r="N34" i="24"/>
  <c r="L34" i="24"/>
  <c r="N31" i="24"/>
  <c r="L31" i="24"/>
  <c r="N30" i="24"/>
  <c r="L30" i="24"/>
  <c r="N29" i="24"/>
  <c r="L29" i="24"/>
  <c r="N28" i="24"/>
  <c r="L28" i="24"/>
  <c r="N27" i="24"/>
  <c r="N26" i="24"/>
  <c r="N25" i="24"/>
  <c r="N24" i="24"/>
  <c r="C17" i="24"/>
  <c r="C18" i="24" s="1"/>
  <c r="C19" i="24" s="1"/>
  <c r="C20" i="24" s="1"/>
  <c r="C21" i="24" s="1"/>
  <c r="C22" i="24" s="1"/>
  <c r="C23" i="24" s="1"/>
  <c r="C24" i="24" s="1"/>
  <c r="C25" i="24" s="1"/>
  <c r="C26" i="24" s="1"/>
  <c r="C27" i="24" s="1"/>
  <c r="C28" i="24" s="1"/>
  <c r="C29" i="24" s="1"/>
  <c r="C30" i="24" s="1"/>
  <c r="C31" i="24" s="1"/>
  <c r="C32" i="24" s="1"/>
  <c r="K11" i="24"/>
  <c r="I11" i="24"/>
  <c r="D91" i="24"/>
  <c r="D93" i="21"/>
  <c r="M17" i="23"/>
  <c r="N17" i="23" s="1"/>
  <c r="K17" i="23"/>
  <c r="L17" i="23" s="1"/>
  <c r="M17" i="22"/>
  <c r="N17" i="22" s="1"/>
  <c r="K17" i="22"/>
  <c r="L17" i="22" s="1"/>
  <c r="N101" i="21"/>
  <c r="O101" i="21" s="1"/>
  <c r="L101" i="21"/>
  <c r="M101" i="21" s="1"/>
  <c r="M18" i="21"/>
  <c r="N18" i="21" s="1"/>
  <c r="K18" i="21"/>
  <c r="L18" i="21" s="1"/>
  <c r="N102" i="19"/>
  <c r="O102" i="19" s="1"/>
  <c r="L102" i="19"/>
  <c r="M102" i="19" s="1"/>
  <c r="M20" i="19"/>
  <c r="N20" i="19" s="1"/>
  <c r="K20" i="19"/>
  <c r="L20" i="19" s="1"/>
  <c r="M20" i="18"/>
  <c r="N20" i="18" s="1"/>
  <c r="K20" i="18"/>
  <c r="L20" i="18" s="1"/>
  <c r="N103" i="4"/>
  <c r="O103" i="4" s="1"/>
  <c r="L103" i="4"/>
  <c r="M103" i="4" s="1"/>
  <c r="M21" i="4"/>
  <c r="N21" i="4" s="1"/>
  <c r="K21" i="4"/>
  <c r="L21" i="4" s="1"/>
  <c r="N103" i="3"/>
  <c r="O103" i="3" s="1"/>
  <c r="L103" i="3"/>
  <c r="M103" i="3" s="1"/>
  <c r="M21" i="3"/>
  <c r="N21" i="3" s="1"/>
  <c r="K21" i="3"/>
  <c r="L21" i="3" s="1"/>
  <c r="D8" i="23"/>
  <c r="D91" i="23" s="1"/>
  <c r="D8" i="22"/>
  <c r="D91" i="22" s="1"/>
  <c r="D8" i="21"/>
  <c r="D91" i="21" s="1"/>
  <c r="D8" i="18"/>
  <c r="D91" i="18" s="1"/>
  <c r="D8" i="4"/>
  <c r="D91" i="4" s="1"/>
  <c r="D8" i="3"/>
  <c r="D91" i="3" s="1"/>
  <c r="D8" i="13"/>
  <c r="D91" i="13" s="1"/>
  <c r="W25" i="17"/>
  <c r="W24" i="17"/>
  <c r="P155" i="23"/>
  <c r="O155" i="23"/>
  <c r="M155" i="23"/>
  <c r="P154" i="23"/>
  <c r="O154" i="23"/>
  <c r="M154" i="23"/>
  <c r="P153" i="23"/>
  <c r="O153" i="23"/>
  <c r="M153" i="23"/>
  <c r="P152" i="23"/>
  <c r="O152" i="23"/>
  <c r="M152" i="23"/>
  <c r="P151" i="23"/>
  <c r="O151" i="23"/>
  <c r="M151" i="23"/>
  <c r="P150" i="23"/>
  <c r="O150" i="23"/>
  <c r="M150" i="23"/>
  <c r="P149" i="23"/>
  <c r="O149" i="23"/>
  <c r="M149" i="23"/>
  <c r="P148" i="23"/>
  <c r="O148" i="23"/>
  <c r="M148" i="23"/>
  <c r="P147" i="23"/>
  <c r="O147" i="23"/>
  <c r="M147" i="23"/>
  <c r="P146" i="23"/>
  <c r="O146" i="23"/>
  <c r="M146" i="23"/>
  <c r="P145" i="23"/>
  <c r="O145" i="23"/>
  <c r="M145" i="23"/>
  <c r="P144" i="23"/>
  <c r="O144" i="23"/>
  <c r="M144" i="23"/>
  <c r="P143" i="23"/>
  <c r="O143" i="23"/>
  <c r="M143" i="23"/>
  <c r="P142" i="23"/>
  <c r="O142" i="23"/>
  <c r="M142" i="23"/>
  <c r="P141" i="23"/>
  <c r="O141" i="23"/>
  <c r="M141" i="23"/>
  <c r="P140" i="23"/>
  <c r="O140" i="23"/>
  <c r="M140" i="23"/>
  <c r="P139" i="23"/>
  <c r="O139" i="23"/>
  <c r="M139" i="23"/>
  <c r="P138" i="23"/>
  <c r="O138" i="23"/>
  <c r="M138" i="23"/>
  <c r="P137" i="23"/>
  <c r="O137" i="23"/>
  <c r="M137" i="23"/>
  <c r="P136" i="23"/>
  <c r="O136" i="23"/>
  <c r="M136" i="23"/>
  <c r="P135" i="23"/>
  <c r="O135" i="23"/>
  <c r="M135" i="23"/>
  <c r="P134" i="23"/>
  <c r="O134" i="23"/>
  <c r="M134" i="23"/>
  <c r="P133" i="23"/>
  <c r="O133" i="23"/>
  <c r="M133" i="23"/>
  <c r="P132" i="23"/>
  <c r="O132" i="23"/>
  <c r="M132" i="23"/>
  <c r="O131" i="23"/>
  <c r="M131" i="23"/>
  <c r="O130" i="23"/>
  <c r="M130" i="23"/>
  <c r="O129" i="23"/>
  <c r="M129" i="23"/>
  <c r="O128" i="23"/>
  <c r="M128" i="23"/>
  <c r="O127" i="23"/>
  <c r="M127" i="23"/>
  <c r="O126" i="23"/>
  <c r="M126" i="23"/>
  <c r="O125" i="23"/>
  <c r="M125" i="23"/>
  <c r="O124" i="23"/>
  <c r="M124" i="23"/>
  <c r="O123" i="23"/>
  <c r="M123" i="23"/>
  <c r="O122" i="23"/>
  <c r="M122" i="23"/>
  <c r="O121" i="23"/>
  <c r="M121" i="23"/>
  <c r="O120" i="23"/>
  <c r="M120" i="23"/>
  <c r="O119" i="23"/>
  <c r="M119" i="23"/>
  <c r="O118" i="23"/>
  <c r="M118" i="23"/>
  <c r="O117" i="23"/>
  <c r="M117" i="23"/>
  <c r="O116" i="23"/>
  <c r="M116" i="23"/>
  <c r="O115" i="23"/>
  <c r="M115" i="23"/>
  <c r="O114" i="23"/>
  <c r="M114" i="23"/>
  <c r="O113" i="23"/>
  <c r="M113" i="23"/>
  <c r="O112" i="23"/>
  <c r="M112" i="23"/>
  <c r="O111" i="23"/>
  <c r="M111" i="23"/>
  <c r="O110" i="23"/>
  <c r="M110" i="23"/>
  <c r="O109" i="23"/>
  <c r="M109" i="23"/>
  <c r="O107" i="23"/>
  <c r="O106" i="23"/>
  <c r="D97" i="23"/>
  <c r="L94" i="23"/>
  <c r="J94" i="23"/>
  <c r="D92" i="23"/>
  <c r="D90" i="23"/>
  <c r="N73" i="23"/>
  <c r="L73" i="23"/>
  <c r="N72" i="23"/>
  <c r="L72" i="23"/>
  <c r="N71" i="23"/>
  <c r="L71" i="23"/>
  <c r="N70" i="23"/>
  <c r="L70" i="23"/>
  <c r="N69" i="23"/>
  <c r="L69" i="23"/>
  <c r="N68" i="23"/>
  <c r="L68" i="23"/>
  <c r="N67" i="23"/>
  <c r="L67" i="23"/>
  <c r="N66" i="23"/>
  <c r="L66" i="23"/>
  <c r="N65" i="23"/>
  <c r="L65" i="23"/>
  <c r="N64" i="23"/>
  <c r="L64" i="23"/>
  <c r="N63" i="23"/>
  <c r="L63" i="23"/>
  <c r="N62" i="23"/>
  <c r="L62" i="23"/>
  <c r="N61" i="23"/>
  <c r="L61" i="23"/>
  <c r="N60" i="23"/>
  <c r="L60" i="23"/>
  <c r="N59" i="23"/>
  <c r="L59" i="23"/>
  <c r="N58" i="23"/>
  <c r="L58" i="23"/>
  <c r="N57" i="23"/>
  <c r="L57" i="23"/>
  <c r="N56" i="23"/>
  <c r="L56" i="23"/>
  <c r="N55" i="23"/>
  <c r="L55" i="23"/>
  <c r="N54" i="23"/>
  <c r="L54" i="23"/>
  <c r="N53" i="23"/>
  <c r="L53" i="23"/>
  <c r="N52" i="23"/>
  <c r="L52" i="23"/>
  <c r="N51" i="23"/>
  <c r="L51" i="23"/>
  <c r="N50" i="23"/>
  <c r="L50" i="23"/>
  <c r="N49" i="23"/>
  <c r="L49" i="23"/>
  <c r="N48" i="23"/>
  <c r="L48" i="23"/>
  <c r="N47" i="23"/>
  <c r="L47" i="23"/>
  <c r="N46" i="23"/>
  <c r="L46" i="23"/>
  <c r="N45" i="23"/>
  <c r="L45" i="23"/>
  <c r="N44" i="23"/>
  <c r="L44" i="23"/>
  <c r="N43" i="23"/>
  <c r="L43" i="23"/>
  <c r="N42" i="23"/>
  <c r="L42" i="23"/>
  <c r="N41" i="23"/>
  <c r="L41" i="23"/>
  <c r="N40" i="23"/>
  <c r="L40" i="23"/>
  <c r="N39" i="23"/>
  <c r="L39" i="23"/>
  <c r="N38" i="23"/>
  <c r="L38" i="23"/>
  <c r="N37" i="23"/>
  <c r="L37" i="23"/>
  <c r="N36" i="23"/>
  <c r="L36" i="23"/>
  <c r="N35" i="23"/>
  <c r="L35" i="23"/>
  <c r="N34" i="23"/>
  <c r="L34" i="23"/>
  <c r="N31" i="23"/>
  <c r="L31" i="23"/>
  <c r="N30" i="23"/>
  <c r="L30" i="23"/>
  <c r="N29" i="23"/>
  <c r="L29" i="23"/>
  <c r="N28" i="23"/>
  <c r="L28" i="23"/>
  <c r="N27" i="23"/>
  <c r="L27" i="23"/>
  <c r="N26" i="23"/>
  <c r="N25" i="23"/>
  <c r="N24" i="23"/>
  <c r="N23" i="23"/>
  <c r="C17" i="23"/>
  <c r="C18" i="23" s="1"/>
  <c r="C19" i="23" s="1"/>
  <c r="C20" i="23" s="1"/>
  <c r="C21" i="23" s="1"/>
  <c r="C22" i="23" s="1"/>
  <c r="C23" i="23" s="1"/>
  <c r="C24" i="23" s="1"/>
  <c r="C25" i="23" s="1"/>
  <c r="C26" i="23" s="1"/>
  <c r="C27" i="23" s="1"/>
  <c r="C28" i="23" s="1"/>
  <c r="C29" i="23" s="1"/>
  <c r="C30" i="23" s="1"/>
  <c r="C31" i="23" s="1"/>
  <c r="C32" i="23" s="1"/>
  <c r="K11" i="23"/>
  <c r="I11" i="23"/>
  <c r="P155" i="22"/>
  <c r="O155" i="22"/>
  <c r="M155" i="22"/>
  <c r="P154" i="22"/>
  <c r="O154" i="22"/>
  <c r="M154" i="22"/>
  <c r="P153" i="22"/>
  <c r="O153" i="22"/>
  <c r="M153" i="22"/>
  <c r="P152" i="22"/>
  <c r="O152" i="22"/>
  <c r="M152" i="22"/>
  <c r="P151" i="22"/>
  <c r="O151" i="22"/>
  <c r="M151" i="22"/>
  <c r="P150" i="22"/>
  <c r="O150" i="22"/>
  <c r="M150" i="22"/>
  <c r="P149" i="22"/>
  <c r="O149" i="22"/>
  <c r="M149" i="22"/>
  <c r="P148" i="22"/>
  <c r="O148" i="22"/>
  <c r="M148" i="22"/>
  <c r="P147" i="22"/>
  <c r="O147" i="22"/>
  <c r="M147" i="22"/>
  <c r="P146" i="22"/>
  <c r="O146" i="22"/>
  <c r="M146" i="22"/>
  <c r="P145" i="22"/>
  <c r="O145" i="22"/>
  <c r="M145" i="22"/>
  <c r="P144" i="22"/>
  <c r="O144" i="22"/>
  <c r="M144" i="22"/>
  <c r="P143" i="22"/>
  <c r="O143" i="22"/>
  <c r="M143" i="22"/>
  <c r="P142" i="22"/>
  <c r="O142" i="22"/>
  <c r="M142" i="22"/>
  <c r="P141" i="22"/>
  <c r="O141" i="22"/>
  <c r="M141" i="22"/>
  <c r="P140" i="22"/>
  <c r="O140" i="22"/>
  <c r="M140" i="22"/>
  <c r="P139" i="22"/>
  <c r="O139" i="22"/>
  <c r="M139" i="22"/>
  <c r="P138" i="22"/>
  <c r="O138" i="22"/>
  <c r="M138" i="22"/>
  <c r="P137" i="22"/>
  <c r="O137" i="22"/>
  <c r="M137" i="22"/>
  <c r="P136" i="22"/>
  <c r="O136" i="22"/>
  <c r="M136" i="22"/>
  <c r="P135" i="22"/>
  <c r="O135" i="22"/>
  <c r="M135" i="22"/>
  <c r="P134" i="22"/>
  <c r="O134" i="22"/>
  <c r="M134" i="22"/>
  <c r="P133" i="22"/>
  <c r="O133" i="22"/>
  <c r="M133" i="22"/>
  <c r="P132" i="22"/>
  <c r="O132" i="22"/>
  <c r="M132" i="22"/>
  <c r="O131" i="22"/>
  <c r="M131" i="22"/>
  <c r="O130" i="22"/>
  <c r="M130" i="22"/>
  <c r="O129" i="22"/>
  <c r="M129" i="22"/>
  <c r="O128" i="22"/>
  <c r="M128" i="22"/>
  <c r="O127" i="22"/>
  <c r="M127" i="22"/>
  <c r="O126" i="22"/>
  <c r="M126" i="22"/>
  <c r="O125" i="22"/>
  <c r="M125" i="22"/>
  <c r="O124" i="22"/>
  <c r="M124" i="22"/>
  <c r="O123" i="22"/>
  <c r="M123" i="22"/>
  <c r="O122" i="22"/>
  <c r="M122" i="22"/>
  <c r="O121" i="22"/>
  <c r="M121" i="22"/>
  <c r="O120" i="22"/>
  <c r="M120" i="22"/>
  <c r="O119" i="22"/>
  <c r="M119" i="22"/>
  <c r="O118" i="22"/>
  <c r="M118" i="22"/>
  <c r="O117" i="22"/>
  <c r="M117" i="22"/>
  <c r="O116" i="22"/>
  <c r="M116" i="22"/>
  <c r="O115" i="22"/>
  <c r="M115" i="22"/>
  <c r="O114" i="22"/>
  <c r="M114" i="22"/>
  <c r="O113" i="22"/>
  <c r="M113" i="22"/>
  <c r="O112" i="22"/>
  <c r="M112" i="22"/>
  <c r="O111" i="22"/>
  <c r="M111" i="22"/>
  <c r="O110" i="22"/>
  <c r="M110" i="22"/>
  <c r="O109" i="22"/>
  <c r="M109" i="22"/>
  <c r="O107" i="22"/>
  <c r="O106" i="22"/>
  <c r="D97" i="22"/>
  <c r="L94" i="22"/>
  <c r="J94" i="22"/>
  <c r="D92" i="22"/>
  <c r="D90" i="22"/>
  <c r="N73" i="22"/>
  <c r="L73" i="22"/>
  <c r="N72" i="22"/>
  <c r="L72" i="22"/>
  <c r="N71" i="22"/>
  <c r="L71" i="22"/>
  <c r="N70" i="22"/>
  <c r="L70" i="22"/>
  <c r="N69" i="22"/>
  <c r="L69" i="22"/>
  <c r="N68" i="22"/>
  <c r="L68" i="22"/>
  <c r="N67" i="22"/>
  <c r="L67" i="22"/>
  <c r="N66" i="22"/>
  <c r="L66" i="22"/>
  <c r="N65" i="22"/>
  <c r="L65" i="22"/>
  <c r="N64" i="22"/>
  <c r="L64" i="22"/>
  <c r="N63" i="22"/>
  <c r="L63" i="22"/>
  <c r="N62" i="22"/>
  <c r="L62" i="22"/>
  <c r="N61" i="22"/>
  <c r="L61" i="22"/>
  <c r="N60" i="22"/>
  <c r="L60" i="22"/>
  <c r="N59" i="22"/>
  <c r="L59" i="22"/>
  <c r="N58" i="22"/>
  <c r="L58" i="22"/>
  <c r="N57" i="22"/>
  <c r="L57" i="22"/>
  <c r="N56" i="22"/>
  <c r="L56" i="22"/>
  <c r="N55" i="22"/>
  <c r="L55" i="22"/>
  <c r="N54" i="22"/>
  <c r="L54" i="22"/>
  <c r="N53" i="22"/>
  <c r="L53" i="22"/>
  <c r="N52" i="22"/>
  <c r="L52" i="22"/>
  <c r="N51" i="22"/>
  <c r="L51" i="22"/>
  <c r="N50" i="22"/>
  <c r="L50" i="22"/>
  <c r="N49" i="22"/>
  <c r="L49" i="22"/>
  <c r="N48" i="22"/>
  <c r="L48" i="22"/>
  <c r="N47" i="22"/>
  <c r="L47" i="22"/>
  <c r="N46" i="22"/>
  <c r="L46" i="22"/>
  <c r="N45" i="22"/>
  <c r="L45" i="22"/>
  <c r="N44" i="22"/>
  <c r="L44" i="22"/>
  <c r="N43" i="22"/>
  <c r="L43" i="22"/>
  <c r="N42" i="22"/>
  <c r="L42" i="22"/>
  <c r="N41" i="22"/>
  <c r="L41" i="22"/>
  <c r="N40" i="22"/>
  <c r="L40" i="22"/>
  <c r="N39" i="22"/>
  <c r="L39" i="22"/>
  <c r="N38" i="22"/>
  <c r="L38" i="22"/>
  <c r="N37" i="22"/>
  <c r="L37" i="22"/>
  <c r="N36" i="22"/>
  <c r="L36" i="22"/>
  <c r="N35" i="22"/>
  <c r="L35" i="22"/>
  <c r="N34" i="22"/>
  <c r="L34" i="22"/>
  <c r="N33" i="22"/>
  <c r="L33" i="22"/>
  <c r="N31" i="22"/>
  <c r="L31" i="22"/>
  <c r="N30" i="22"/>
  <c r="L30" i="22"/>
  <c r="N29" i="22"/>
  <c r="L29" i="22"/>
  <c r="N28" i="22"/>
  <c r="L28" i="22"/>
  <c r="N27" i="22"/>
  <c r="L27" i="22"/>
  <c r="N26" i="22"/>
  <c r="N25" i="22"/>
  <c r="N24" i="22"/>
  <c r="N23" i="22"/>
  <c r="C17" i="22"/>
  <c r="C18" i="22" s="1"/>
  <c r="C19" i="22" s="1"/>
  <c r="C20" i="22" s="1"/>
  <c r="C21" i="22" s="1"/>
  <c r="C22" i="22" s="1"/>
  <c r="C23" i="22" s="1"/>
  <c r="C24" i="22" s="1"/>
  <c r="C25" i="22" s="1"/>
  <c r="C26" i="22" s="1"/>
  <c r="C27" i="22" s="1"/>
  <c r="C28" i="22" s="1"/>
  <c r="C29" i="22" s="1"/>
  <c r="C30" i="22" s="1"/>
  <c r="C31" i="22" s="1"/>
  <c r="C32" i="22" s="1"/>
  <c r="K11" i="22"/>
  <c r="I11" i="22"/>
  <c r="N100" i="21"/>
  <c r="O100" i="21" s="1"/>
  <c r="L100" i="21"/>
  <c r="M100" i="21" s="1"/>
  <c r="N101" i="19"/>
  <c r="O101" i="19" s="1"/>
  <c r="L101" i="19"/>
  <c r="M101" i="19" s="1"/>
  <c r="M19" i="19"/>
  <c r="N19" i="19" s="1"/>
  <c r="K19" i="19"/>
  <c r="L19" i="19" s="1"/>
  <c r="N101" i="18"/>
  <c r="O101" i="18" s="1"/>
  <c r="L101" i="18"/>
  <c r="M101" i="18" s="1"/>
  <c r="M19" i="18"/>
  <c r="N19" i="18" s="1"/>
  <c r="K19" i="18"/>
  <c r="L19" i="18" s="1"/>
  <c r="N102" i="4"/>
  <c r="O102" i="4" s="1"/>
  <c r="L102" i="4"/>
  <c r="M102" i="4" s="1"/>
  <c r="M20" i="4"/>
  <c r="N20" i="4" s="1"/>
  <c r="K20" i="4"/>
  <c r="L20" i="4" s="1"/>
  <c r="M20" i="3"/>
  <c r="N20" i="3" s="1"/>
  <c r="K20" i="3"/>
  <c r="L20" i="3" s="1"/>
  <c r="N102" i="3"/>
  <c r="O102" i="3" s="1"/>
  <c r="L102" i="3"/>
  <c r="M102" i="3" s="1"/>
  <c r="F78" i="1"/>
  <c r="I12" i="21" s="1"/>
  <c r="I13" i="21" s="1"/>
  <c r="W23" i="17"/>
  <c r="W22" i="17"/>
  <c r="B21" i="18"/>
  <c r="B19" i="21"/>
  <c r="B21" i="3"/>
  <c r="M17" i="21"/>
  <c r="N17" i="21" s="1"/>
  <c r="K17" i="21"/>
  <c r="L17" i="21" s="1"/>
  <c r="M17" i="20"/>
  <c r="N17" i="20" s="1"/>
  <c r="K17" i="20"/>
  <c r="L17" i="20" s="1"/>
  <c r="N100" i="19"/>
  <c r="O100" i="19" s="1"/>
  <c r="L100" i="19"/>
  <c r="M100" i="19" s="1"/>
  <c r="M18" i="19"/>
  <c r="N18" i="19" s="1"/>
  <c r="K18" i="19"/>
  <c r="L18" i="19" s="1"/>
  <c r="N100" i="18"/>
  <c r="O100" i="18" s="1"/>
  <c r="L100" i="18"/>
  <c r="M100" i="18" s="1"/>
  <c r="M18" i="18"/>
  <c r="N18" i="18" s="1"/>
  <c r="K18" i="18"/>
  <c r="L18" i="18" s="1"/>
  <c r="N101" i="4"/>
  <c r="O101" i="4" s="1"/>
  <c r="L101" i="4"/>
  <c r="M101" i="4" s="1"/>
  <c r="M19" i="4"/>
  <c r="N19" i="4" s="1"/>
  <c r="K19" i="4"/>
  <c r="L19" i="4" s="1"/>
  <c r="N101" i="3"/>
  <c r="O101" i="3" s="1"/>
  <c r="L101" i="3"/>
  <c r="M101" i="3" s="1"/>
  <c r="M19" i="3"/>
  <c r="N19" i="3" s="1"/>
  <c r="K19" i="3"/>
  <c r="L19" i="3" s="1"/>
  <c r="J95" i="31"/>
  <c r="J96" i="31" s="1"/>
  <c r="D94" i="3"/>
  <c r="C100" i="3" s="1"/>
  <c r="C17" i="3"/>
  <c r="C18" i="3" s="1"/>
  <c r="C19" i="3" s="1"/>
  <c r="C20" i="3" s="1"/>
  <c r="C21" i="3" s="1"/>
  <c r="C22" i="3" s="1"/>
  <c r="C23" i="3" s="1"/>
  <c r="C24" i="3" s="1"/>
  <c r="C25" i="3" s="1"/>
  <c r="C26" i="3" s="1"/>
  <c r="C27" i="3" s="1"/>
  <c r="C28" i="3" s="1"/>
  <c r="C29" i="3" s="1"/>
  <c r="C30" i="3" s="1"/>
  <c r="C31" i="3" s="1"/>
  <c r="C32" i="3" s="1"/>
  <c r="K18" i="3"/>
  <c r="L18" i="3" s="1"/>
  <c r="C17" i="4"/>
  <c r="C18" i="4" s="1"/>
  <c r="C19" i="4" s="1"/>
  <c r="C20" i="4" s="1"/>
  <c r="C21" i="4" s="1"/>
  <c r="C22" i="4" s="1"/>
  <c r="C23" i="4" s="1"/>
  <c r="C24" i="4" s="1"/>
  <c r="C25" i="4" s="1"/>
  <c r="C26" i="4" s="1"/>
  <c r="C27" i="4" s="1"/>
  <c r="C28" i="4" s="1"/>
  <c r="C29" i="4" s="1"/>
  <c r="C30" i="4" s="1"/>
  <c r="C31" i="4" s="1"/>
  <c r="C32" i="4" s="1"/>
  <c r="K18" i="4"/>
  <c r="L18" i="4" s="1"/>
  <c r="C17" i="18"/>
  <c r="C18" i="18" s="1"/>
  <c r="C19" i="18" s="1"/>
  <c r="C20" i="18" s="1"/>
  <c r="C21" i="18" s="1"/>
  <c r="C22" i="18" s="1"/>
  <c r="C23" i="18" s="1"/>
  <c r="C24" i="18" s="1"/>
  <c r="C25" i="18" s="1"/>
  <c r="C26" i="18" s="1"/>
  <c r="C27" i="18" s="1"/>
  <c r="C28" i="18" s="1"/>
  <c r="C29" i="18" s="1"/>
  <c r="C30" i="18" s="1"/>
  <c r="C31" i="18" s="1"/>
  <c r="C32" i="18" s="1"/>
  <c r="K17" i="18"/>
  <c r="L17" i="18" s="1"/>
  <c r="C17" i="19"/>
  <c r="C18" i="19" s="1"/>
  <c r="C19" i="19" s="1"/>
  <c r="C20" i="19" s="1"/>
  <c r="C21" i="19" s="1"/>
  <c r="C22" i="19" s="1"/>
  <c r="C23" i="19" s="1"/>
  <c r="C24" i="19" s="1"/>
  <c r="C25" i="19" s="1"/>
  <c r="C26" i="19" s="1"/>
  <c r="C27" i="19" s="1"/>
  <c r="C28" i="19" s="1"/>
  <c r="C29" i="19" s="1"/>
  <c r="C30" i="19" s="1"/>
  <c r="C31" i="19" s="1"/>
  <c r="C32" i="19" s="1"/>
  <c r="K17" i="19"/>
  <c r="L17" i="19" s="1"/>
  <c r="C17" i="21"/>
  <c r="C18" i="21" s="1"/>
  <c r="C19" i="21" s="1"/>
  <c r="C20" i="21" s="1"/>
  <c r="C21" i="21" s="1"/>
  <c r="C22" i="21" s="1"/>
  <c r="C23" i="21" s="1"/>
  <c r="C24" i="21" s="1"/>
  <c r="C25" i="21" s="1"/>
  <c r="C26" i="21" s="1"/>
  <c r="C27" i="21" s="1"/>
  <c r="C28" i="21" s="1"/>
  <c r="C29" i="21" s="1"/>
  <c r="C30" i="21" s="1"/>
  <c r="C31" i="21" s="1"/>
  <c r="C32" i="21" s="1"/>
  <c r="I14" i="20"/>
  <c r="C17" i="20"/>
  <c r="C18" i="20" s="1"/>
  <c r="C19" i="20" s="1"/>
  <c r="C20" i="20" s="1"/>
  <c r="C21" i="20" s="1"/>
  <c r="C22" i="20" s="1"/>
  <c r="C23" i="20" s="1"/>
  <c r="C24" i="20" s="1"/>
  <c r="C25" i="20" s="1"/>
  <c r="C26" i="20" s="1"/>
  <c r="C27" i="20" s="1"/>
  <c r="C28" i="20" s="1"/>
  <c r="C29" i="20" s="1"/>
  <c r="C30" i="20" s="1"/>
  <c r="C31" i="20" s="1"/>
  <c r="C32" i="20" s="1"/>
  <c r="C33" i="20" s="1"/>
  <c r="C34" i="20" s="1"/>
  <c r="C35" i="20" s="1"/>
  <c r="C36" i="20" s="1"/>
  <c r="C37" i="20" s="1"/>
  <c r="C38" i="20" s="1"/>
  <c r="C39" i="20" s="1"/>
  <c r="C40" i="20" s="1"/>
  <c r="C41" i="20" s="1"/>
  <c r="C42" i="20" s="1"/>
  <c r="C43" i="20" s="1"/>
  <c r="C44" i="20" s="1"/>
  <c r="C45" i="20" s="1"/>
  <c r="C46" i="20" s="1"/>
  <c r="C47" i="20" s="1"/>
  <c r="C48" i="20" s="1"/>
  <c r="C49" i="20" s="1"/>
  <c r="C50" i="20" s="1"/>
  <c r="C51" i="20" s="1"/>
  <c r="C52" i="20" s="1"/>
  <c r="C53" i="20" s="1"/>
  <c r="C54" i="20" s="1"/>
  <c r="C55" i="20" s="1"/>
  <c r="C56" i="20" s="1"/>
  <c r="C57" i="20" s="1"/>
  <c r="C58" i="20" s="1"/>
  <c r="C59" i="20" s="1"/>
  <c r="C60" i="20" s="1"/>
  <c r="C61" i="20" s="1"/>
  <c r="C62" i="20" s="1"/>
  <c r="C63" i="20" s="1"/>
  <c r="C64" i="20" s="1"/>
  <c r="C65" i="20" s="1"/>
  <c r="C66" i="20" s="1"/>
  <c r="C67" i="20" s="1"/>
  <c r="C68" i="20" s="1"/>
  <c r="C69" i="20" s="1"/>
  <c r="C70" i="20" s="1"/>
  <c r="C71" i="20" s="1"/>
  <c r="C72" i="20" s="1"/>
  <c r="C73" i="20" s="1"/>
  <c r="D95" i="3"/>
  <c r="P1" i="21"/>
  <c r="P84" i="21" s="1"/>
  <c r="H3" i="21"/>
  <c r="K11" i="21"/>
  <c r="B17" i="21"/>
  <c r="N24" i="21"/>
  <c r="N25" i="21"/>
  <c r="N26" i="21"/>
  <c r="N27" i="21"/>
  <c r="L28" i="21"/>
  <c r="N28" i="21"/>
  <c r="L29" i="21"/>
  <c r="N29" i="21"/>
  <c r="L30" i="21"/>
  <c r="N30" i="21"/>
  <c r="L31" i="21"/>
  <c r="N31" i="21"/>
  <c r="L33" i="21"/>
  <c r="N33" i="21"/>
  <c r="L34" i="21"/>
  <c r="N34" i="21"/>
  <c r="L35" i="21"/>
  <c r="N35" i="21"/>
  <c r="L36" i="21"/>
  <c r="N36" i="21"/>
  <c r="L37" i="21"/>
  <c r="N37" i="21"/>
  <c r="L38" i="21"/>
  <c r="N38" i="21"/>
  <c r="L39" i="21"/>
  <c r="N39" i="21"/>
  <c r="L40" i="21"/>
  <c r="N40" i="21"/>
  <c r="L41" i="21"/>
  <c r="N41" i="21"/>
  <c r="L42" i="21"/>
  <c r="N42" i="21"/>
  <c r="L43" i="21"/>
  <c r="N43" i="21"/>
  <c r="L44" i="21"/>
  <c r="N44" i="21"/>
  <c r="L45" i="21"/>
  <c r="N45" i="21"/>
  <c r="L46" i="21"/>
  <c r="N46" i="21"/>
  <c r="L47" i="21"/>
  <c r="N47" i="21"/>
  <c r="L48" i="21"/>
  <c r="N48" i="21"/>
  <c r="L49" i="21"/>
  <c r="N49" i="21"/>
  <c r="L50" i="21"/>
  <c r="N50" i="21"/>
  <c r="L51" i="21"/>
  <c r="N51" i="21"/>
  <c r="L52" i="21"/>
  <c r="N52" i="21"/>
  <c r="L53" i="21"/>
  <c r="N53" i="21"/>
  <c r="L54" i="21"/>
  <c r="N54" i="21"/>
  <c r="L55" i="21"/>
  <c r="N55" i="21"/>
  <c r="L56" i="21"/>
  <c r="N56" i="21"/>
  <c r="L57" i="21"/>
  <c r="N57" i="21"/>
  <c r="L58" i="21"/>
  <c r="N58" i="21"/>
  <c r="L59" i="21"/>
  <c r="N59" i="21"/>
  <c r="L60" i="21"/>
  <c r="N60" i="21"/>
  <c r="L61" i="21"/>
  <c r="N61" i="21"/>
  <c r="L62" i="21"/>
  <c r="N62" i="21"/>
  <c r="L63" i="21"/>
  <c r="N63" i="21"/>
  <c r="L64" i="21"/>
  <c r="N64" i="21"/>
  <c r="L65" i="21"/>
  <c r="N65" i="21"/>
  <c r="L66" i="21"/>
  <c r="N66" i="21"/>
  <c r="L67" i="21"/>
  <c r="N67" i="21"/>
  <c r="L68" i="21"/>
  <c r="N68" i="21"/>
  <c r="L69" i="21"/>
  <c r="N69" i="21"/>
  <c r="L70" i="21"/>
  <c r="N70" i="21"/>
  <c r="L71" i="21"/>
  <c r="N71" i="21"/>
  <c r="L72" i="21"/>
  <c r="N72" i="21"/>
  <c r="L73" i="21"/>
  <c r="N73" i="21"/>
  <c r="D90" i="21"/>
  <c r="D92" i="21"/>
  <c r="J94" i="21"/>
  <c r="L94" i="21"/>
  <c r="D97" i="21"/>
  <c r="O106" i="21"/>
  <c r="O107" i="21"/>
  <c r="O108" i="21"/>
  <c r="M110" i="21"/>
  <c r="O110" i="21"/>
  <c r="M111" i="21"/>
  <c r="O111" i="21"/>
  <c r="M112" i="21"/>
  <c r="O112" i="21"/>
  <c r="M113" i="21"/>
  <c r="O113" i="21"/>
  <c r="M114" i="21"/>
  <c r="O114" i="21"/>
  <c r="M115" i="21"/>
  <c r="O115" i="21"/>
  <c r="M116" i="21"/>
  <c r="O116" i="21"/>
  <c r="M117" i="21"/>
  <c r="O117" i="21"/>
  <c r="M118" i="21"/>
  <c r="O118" i="21"/>
  <c r="M119" i="21"/>
  <c r="O119" i="21"/>
  <c r="M120" i="21"/>
  <c r="O120" i="21"/>
  <c r="M121" i="21"/>
  <c r="O121" i="21"/>
  <c r="M122" i="21"/>
  <c r="O122" i="21"/>
  <c r="M123" i="21"/>
  <c r="O123" i="21"/>
  <c r="M124" i="21"/>
  <c r="O124" i="21"/>
  <c r="M125" i="21"/>
  <c r="O125" i="21"/>
  <c r="M126" i="21"/>
  <c r="O126" i="21"/>
  <c r="M127" i="21"/>
  <c r="O127" i="21"/>
  <c r="M128" i="21"/>
  <c r="O128" i="21"/>
  <c r="M129" i="21"/>
  <c r="O129" i="21"/>
  <c r="M130" i="21"/>
  <c r="O130" i="21"/>
  <c r="M131" i="21"/>
  <c r="O131" i="21"/>
  <c r="M132" i="21"/>
  <c r="O132" i="21"/>
  <c r="M133" i="21"/>
  <c r="O133" i="21"/>
  <c r="M134" i="21"/>
  <c r="O134" i="21"/>
  <c r="M135" i="21"/>
  <c r="O135" i="21"/>
  <c r="M136" i="21"/>
  <c r="O136" i="21"/>
  <c r="M137" i="21"/>
  <c r="O137" i="21"/>
  <c r="M138" i="21"/>
  <c r="O138" i="21"/>
  <c r="M139" i="21"/>
  <c r="O139" i="21"/>
  <c r="M140" i="21"/>
  <c r="O140" i="21"/>
  <c r="M141" i="21"/>
  <c r="O141" i="21"/>
  <c r="M142" i="21"/>
  <c r="O142" i="21"/>
  <c r="M143" i="21"/>
  <c r="O143" i="21"/>
  <c r="M144" i="21"/>
  <c r="O144" i="21"/>
  <c r="M145" i="21"/>
  <c r="O145" i="21"/>
  <c r="M146" i="21"/>
  <c r="O146" i="21"/>
  <c r="M147" i="21"/>
  <c r="O147" i="21"/>
  <c r="M148" i="21"/>
  <c r="O148" i="21"/>
  <c r="M149" i="21"/>
  <c r="O149" i="21"/>
  <c r="M150" i="21"/>
  <c r="O150" i="21"/>
  <c r="M151" i="21"/>
  <c r="O151" i="21"/>
  <c r="M152" i="21"/>
  <c r="O152" i="21"/>
  <c r="M153" i="21"/>
  <c r="O153" i="21"/>
  <c r="M154" i="21"/>
  <c r="O154" i="21"/>
  <c r="M155" i="21"/>
  <c r="O155" i="21"/>
  <c r="M17" i="19"/>
  <c r="N17" i="19" s="1"/>
  <c r="P1" i="20"/>
  <c r="P84" i="20" s="1"/>
  <c r="H3" i="20"/>
  <c r="K11" i="20"/>
  <c r="B17" i="20"/>
  <c r="L18" i="20"/>
  <c r="N18" i="20"/>
  <c r="L19" i="20"/>
  <c r="N19" i="20"/>
  <c r="L20" i="20"/>
  <c r="N20" i="20"/>
  <c r="L21" i="20"/>
  <c r="N21" i="20"/>
  <c r="L22" i="20"/>
  <c r="N22" i="20"/>
  <c r="L23" i="20"/>
  <c r="N23" i="20"/>
  <c r="L24" i="20"/>
  <c r="N24" i="20"/>
  <c r="L25" i="20"/>
  <c r="N25" i="20"/>
  <c r="L26" i="20"/>
  <c r="N26" i="20"/>
  <c r="L27" i="20"/>
  <c r="N27" i="20"/>
  <c r="L28" i="20"/>
  <c r="N28" i="20"/>
  <c r="L29" i="20"/>
  <c r="N29" i="20"/>
  <c r="L30" i="20"/>
  <c r="N30" i="20"/>
  <c r="L31" i="20"/>
  <c r="N31" i="20"/>
  <c r="L33" i="20"/>
  <c r="N33" i="20"/>
  <c r="L34" i="20"/>
  <c r="N34" i="20"/>
  <c r="L35" i="20"/>
  <c r="N35" i="20"/>
  <c r="L36" i="20"/>
  <c r="N36" i="20"/>
  <c r="L37" i="20"/>
  <c r="N37" i="20"/>
  <c r="L38" i="20"/>
  <c r="N38" i="20"/>
  <c r="L39" i="20"/>
  <c r="N39" i="20"/>
  <c r="L40" i="20"/>
  <c r="N40" i="20"/>
  <c r="L41" i="20"/>
  <c r="N41" i="20"/>
  <c r="L42" i="20"/>
  <c r="N42" i="20"/>
  <c r="L43" i="20"/>
  <c r="N43" i="20"/>
  <c r="L44" i="20"/>
  <c r="N44" i="20"/>
  <c r="L45" i="20"/>
  <c r="N45" i="20"/>
  <c r="L46" i="20"/>
  <c r="N46" i="20"/>
  <c r="L47" i="20"/>
  <c r="N47" i="20"/>
  <c r="L48" i="20"/>
  <c r="N48" i="20"/>
  <c r="L49" i="20"/>
  <c r="N49" i="20"/>
  <c r="L50" i="20"/>
  <c r="N50" i="20"/>
  <c r="L51" i="20"/>
  <c r="N51" i="20"/>
  <c r="L52" i="20"/>
  <c r="N52" i="20"/>
  <c r="L53" i="20"/>
  <c r="N53" i="20"/>
  <c r="L54" i="20"/>
  <c r="N54" i="20"/>
  <c r="L55" i="20"/>
  <c r="N55" i="20"/>
  <c r="L56" i="20"/>
  <c r="N56" i="20"/>
  <c r="L57" i="20"/>
  <c r="N57" i="20"/>
  <c r="L58" i="20"/>
  <c r="N58" i="20"/>
  <c r="L59" i="20"/>
  <c r="N59" i="20"/>
  <c r="L60" i="20"/>
  <c r="N60" i="20"/>
  <c r="L61" i="20"/>
  <c r="N61" i="20"/>
  <c r="L62" i="20"/>
  <c r="N62" i="20"/>
  <c r="L63" i="20"/>
  <c r="N63" i="20"/>
  <c r="L64" i="20"/>
  <c r="N64" i="20"/>
  <c r="L65" i="20"/>
  <c r="N65" i="20"/>
  <c r="L66" i="20"/>
  <c r="N66" i="20"/>
  <c r="L67" i="20"/>
  <c r="N67" i="20"/>
  <c r="L68" i="20"/>
  <c r="N68" i="20"/>
  <c r="L69" i="20"/>
  <c r="N69" i="20"/>
  <c r="L70" i="20"/>
  <c r="N70" i="20"/>
  <c r="L71" i="20"/>
  <c r="N71" i="20"/>
  <c r="L72" i="20"/>
  <c r="N72" i="20"/>
  <c r="L73" i="20"/>
  <c r="N73" i="20"/>
  <c r="D90" i="20"/>
  <c r="D92" i="20"/>
  <c r="J94" i="20"/>
  <c r="L94" i="20"/>
  <c r="D97" i="20"/>
  <c r="M100" i="20"/>
  <c r="O100" i="20"/>
  <c r="M101" i="20"/>
  <c r="O101" i="20"/>
  <c r="M102" i="20"/>
  <c r="O102" i="20"/>
  <c r="M103" i="20"/>
  <c r="O103" i="20"/>
  <c r="M104" i="20"/>
  <c r="O104" i="20"/>
  <c r="M105" i="20"/>
  <c r="O105" i="20"/>
  <c r="M106" i="20"/>
  <c r="O106" i="20"/>
  <c r="M107" i="20"/>
  <c r="O107" i="20"/>
  <c r="M108" i="20"/>
  <c r="O108" i="20"/>
  <c r="M109" i="20"/>
  <c r="O109" i="20"/>
  <c r="M110" i="20"/>
  <c r="O110" i="20"/>
  <c r="M111" i="20"/>
  <c r="O111" i="20"/>
  <c r="M112" i="20"/>
  <c r="O112" i="20"/>
  <c r="M113" i="20"/>
  <c r="O113" i="20"/>
  <c r="M114" i="20"/>
  <c r="O114" i="20"/>
  <c r="M115" i="20"/>
  <c r="O115" i="20"/>
  <c r="M116" i="20"/>
  <c r="O116" i="20"/>
  <c r="M117" i="20"/>
  <c r="O117" i="20"/>
  <c r="M118" i="20"/>
  <c r="O118" i="20"/>
  <c r="M119" i="20"/>
  <c r="O119" i="20"/>
  <c r="M120" i="20"/>
  <c r="O120" i="20"/>
  <c r="M121" i="20"/>
  <c r="O121" i="20"/>
  <c r="M122" i="20"/>
  <c r="O122" i="20"/>
  <c r="M123" i="20"/>
  <c r="O123" i="20"/>
  <c r="M124" i="20"/>
  <c r="O124" i="20"/>
  <c r="M125" i="20"/>
  <c r="O125" i="20"/>
  <c r="M126" i="20"/>
  <c r="O126" i="20"/>
  <c r="M127" i="20"/>
  <c r="O127" i="20"/>
  <c r="M128" i="20"/>
  <c r="O128" i="20"/>
  <c r="M129" i="20"/>
  <c r="O129" i="20"/>
  <c r="M130" i="20"/>
  <c r="O130" i="20"/>
  <c r="M131" i="20"/>
  <c r="O131" i="20"/>
  <c r="M132" i="20"/>
  <c r="O132" i="20"/>
  <c r="M133" i="20"/>
  <c r="O133" i="20"/>
  <c r="M134" i="20"/>
  <c r="O134" i="20"/>
  <c r="M135" i="20"/>
  <c r="O135" i="20"/>
  <c r="M136" i="20"/>
  <c r="O136" i="20"/>
  <c r="M137" i="20"/>
  <c r="O137" i="20"/>
  <c r="M138" i="20"/>
  <c r="O138" i="20"/>
  <c r="M139" i="20"/>
  <c r="O139" i="20"/>
  <c r="M140" i="20"/>
  <c r="O140" i="20"/>
  <c r="M141" i="20"/>
  <c r="O141" i="20"/>
  <c r="M142" i="20"/>
  <c r="O142" i="20"/>
  <c r="M143" i="20"/>
  <c r="O143" i="20"/>
  <c r="M144" i="20"/>
  <c r="O144" i="20"/>
  <c r="M145" i="20"/>
  <c r="O145" i="20"/>
  <c r="M146" i="20"/>
  <c r="O146" i="20"/>
  <c r="M147" i="20"/>
  <c r="O147" i="20"/>
  <c r="M148" i="20"/>
  <c r="O148" i="20"/>
  <c r="M149" i="20"/>
  <c r="O149" i="20"/>
  <c r="M150" i="20"/>
  <c r="O150" i="20"/>
  <c r="M151" i="20"/>
  <c r="O151" i="20"/>
  <c r="M152" i="20"/>
  <c r="O152" i="20"/>
  <c r="M153" i="20"/>
  <c r="O153" i="20"/>
  <c r="M154" i="20"/>
  <c r="O154" i="20"/>
  <c r="M155" i="20"/>
  <c r="O155" i="20"/>
  <c r="M17" i="18"/>
  <c r="N17" i="18" s="1"/>
  <c r="N100" i="4"/>
  <c r="O100" i="4" s="1"/>
  <c r="L100" i="4"/>
  <c r="M100" i="4" s="1"/>
  <c r="M18" i="4"/>
  <c r="N18" i="4" s="1"/>
  <c r="N100" i="3"/>
  <c r="O100" i="3" s="1"/>
  <c r="L100" i="3"/>
  <c r="M100" i="3" s="1"/>
  <c r="M18" i="3"/>
  <c r="N18" i="3" s="1"/>
  <c r="C17" i="13"/>
  <c r="C18" i="13" s="1"/>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W21" i="17"/>
  <c r="W20" i="17"/>
  <c r="K17" i="3"/>
  <c r="L17" i="3" s="1"/>
  <c r="K17" i="4"/>
  <c r="L17" i="4" s="1"/>
  <c r="P1" i="19"/>
  <c r="P84" i="19" s="1"/>
  <c r="H3" i="19"/>
  <c r="K11" i="19"/>
  <c r="B17" i="19"/>
  <c r="I17" i="19"/>
  <c r="B18" i="19"/>
  <c r="N26" i="19"/>
  <c r="N27" i="19"/>
  <c r="N28" i="19"/>
  <c r="N29" i="19"/>
  <c r="L30" i="19"/>
  <c r="N30" i="19"/>
  <c r="L34" i="19"/>
  <c r="N34" i="19"/>
  <c r="L35" i="19"/>
  <c r="N35" i="19"/>
  <c r="L36" i="19"/>
  <c r="N36" i="19"/>
  <c r="L37" i="19"/>
  <c r="N37" i="19"/>
  <c r="L38" i="19"/>
  <c r="N38" i="19"/>
  <c r="L39" i="19"/>
  <c r="N39" i="19"/>
  <c r="L40" i="19"/>
  <c r="N40" i="19"/>
  <c r="L41" i="19"/>
  <c r="N41" i="19"/>
  <c r="L42" i="19"/>
  <c r="N42" i="19"/>
  <c r="L43" i="19"/>
  <c r="N43" i="19"/>
  <c r="L44" i="19"/>
  <c r="N44" i="19"/>
  <c r="L45" i="19"/>
  <c r="N45" i="19"/>
  <c r="L46" i="19"/>
  <c r="N46" i="19"/>
  <c r="L47" i="19"/>
  <c r="N47" i="19"/>
  <c r="L48" i="19"/>
  <c r="N48" i="19"/>
  <c r="L49" i="19"/>
  <c r="N49" i="19"/>
  <c r="L50" i="19"/>
  <c r="N50" i="19"/>
  <c r="L51" i="19"/>
  <c r="N51" i="19"/>
  <c r="L52" i="19"/>
  <c r="N52" i="19"/>
  <c r="L53" i="19"/>
  <c r="N53" i="19"/>
  <c r="L54" i="19"/>
  <c r="N54" i="19"/>
  <c r="L55" i="19"/>
  <c r="N55" i="19"/>
  <c r="L56" i="19"/>
  <c r="N56" i="19"/>
  <c r="L57" i="19"/>
  <c r="N57" i="19"/>
  <c r="L58" i="19"/>
  <c r="N58" i="19"/>
  <c r="L59" i="19"/>
  <c r="N59" i="19"/>
  <c r="L60" i="19"/>
  <c r="N60" i="19"/>
  <c r="L61" i="19"/>
  <c r="N61" i="19"/>
  <c r="L62" i="19"/>
  <c r="N62" i="19"/>
  <c r="L63" i="19"/>
  <c r="N63" i="19"/>
  <c r="L64" i="19"/>
  <c r="N64" i="19"/>
  <c r="L65" i="19"/>
  <c r="N65" i="19"/>
  <c r="L66" i="19"/>
  <c r="N66" i="19"/>
  <c r="L67" i="19"/>
  <c r="N67" i="19"/>
  <c r="L68" i="19"/>
  <c r="N68" i="19"/>
  <c r="L69" i="19"/>
  <c r="N69" i="19"/>
  <c r="L70" i="19"/>
  <c r="N70" i="19"/>
  <c r="L71" i="19"/>
  <c r="N71" i="19"/>
  <c r="L72" i="19"/>
  <c r="N72" i="19"/>
  <c r="L73" i="19"/>
  <c r="N73" i="19"/>
  <c r="D90" i="19"/>
  <c r="D92" i="19"/>
  <c r="J94" i="19"/>
  <c r="L94" i="19"/>
  <c r="D97" i="19"/>
  <c r="O108" i="19"/>
  <c r="O109" i="19"/>
  <c r="O110" i="19"/>
  <c r="M112" i="19"/>
  <c r="O112" i="19"/>
  <c r="M113" i="19"/>
  <c r="O113" i="19"/>
  <c r="M114" i="19"/>
  <c r="O114" i="19"/>
  <c r="M115" i="19"/>
  <c r="O115" i="19"/>
  <c r="M116" i="19"/>
  <c r="O116" i="19"/>
  <c r="M117" i="19"/>
  <c r="O117" i="19"/>
  <c r="M118" i="19"/>
  <c r="O118" i="19"/>
  <c r="M119" i="19"/>
  <c r="O119" i="19"/>
  <c r="M120" i="19"/>
  <c r="O120" i="19"/>
  <c r="M121" i="19"/>
  <c r="O121" i="19"/>
  <c r="M122" i="19"/>
  <c r="O122" i="19"/>
  <c r="M123" i="19"/>
  <c r="O123" i="19"/>
  <c r="M124" i="19"/>
  <c r="O124" i="19"/>
  <c r="M125" i="19"/>
  <c r="O125" i="19"/>
  <c r="M126" i="19"/>
  <c r="O126" i="19"/>
  <c r="M127" i="19"/>
  <c r="O127" i="19"/>
  <c r="M128" i="19"/>
  <c r="O128" i="19"/>
  <c r="M129" i="19"/>
  <c r="O129" i="19"/>
  <c r="M130" i="19"/>
  <c r="O130" i="19"/>
  <c r="M131" i="19"/>
  <c r="O131" i="19"/>
  <c r="M132" i="19"/>
  <c r="O132" i="19"/>
  <c r="M133" i="19"/>
  <c r="O133" i="19"/>
  <c r="M134" i="19"/>
  <c r="O134" i="19"/>
  <c r="M135" i="19"/>
  <c r="O135" i="19"/>
  <c r="M136" i="19"/>
  <c r="O136" i="19"/>
  <c r="M137" i="19"/>
  <c r="O137" i="19"/>
  <c r="M138" i="19"/>
  <c r="O138" i="19"/>
  <c r="M139" i="19"/>
  <c r="O139" i="19"/>
  <c r="M140" i="19"/>
  <c r="O140" i="19"/>
  <c r="M141" i="19"/>
  <c r="O141" i="19"/>
  <c r="M142" i="19"/>
  <c r="O142" i="19"/>
  <c r="M143" i="19"/>
  <c r="O143" i="19"/>
  <c r="M144" i="19"/>
  <c r="O144" i="19"/>
  <c r="M145" i="19"/>
  <c r="O145" i="19"/>
  <c r="M146" i="19"/>
  <c r="O146" i="19"/>
  <c r="M147" i="19"/>
  <c r="O147" i="19"/>
  <c r="M148" i="19"/>
  <c r="O148" i="19"/>
  <c r="M149" i="19"/>
  <c r="O149" i="19"/>
  <c r="M150" i="19"/>
  <c r="O150" i="19"/>
  <c r="M151" i="19"/>
  <c r="O151" i="19"/>
  <c r="M152" i="19"/>
  <c r="O152" i="19"/>
  <c r="M153" i="19"/>
  <c r="O153" i="19"/>
  <c r="M154" i="19"/>
  <c r="O154" i="19"/>
  <c r="M155" i="19"/>
  <c r="O155" i="19"/>
  <c r="I17" i="18"/>
  <c r="P1" i="18"/>
  <c r="P84" i="18" s="1"/>
  <c r="H3" i="18"/>
  <c r="K11" i="18"/>
  <c r="B17" i="18"/>
  <c r="B18" i="18"/>
  <c r="N26" i="18"/>
  <c r="N27" i="18"/>
  <c r="N28" i="18"/>
  <c r="N29" i="18"/>
  <c r="L30" i="18"/>
  <c r="N30" i="18"/>
  <c r="L34" i="18"/>
  <c r="N34" i="18"/>
  <c r="L35" i="18"/>
  <c r="N35" i="18"/>
  <c r="L36" i="18"/>
  <c r="N36" i="18"/>
  <c r="L37" i="18"/>
  <c r="N37" i="18"/>
  <c r="L38" i="18"/>
  <c r="N38" i="18"/>
  <c r="L39" i="18"/>
  <c r="N39" i="18"/>
  <c r="L40" i="18"/>
  <c r="N40" i="18"/>
  <c r="L41" i="18"/>
  <c r="N41" i="18"/>
  <c r="L42" i="18"/>
  <c r="N42" i="18"/>
  <c r="L43" i="18"/>
  <c r="N43" i="18"/>
  <c r="L44" i="18"/>
  <c r="N44" i="18"/>
  <c r="L45" i="18"/>
  <c r="N45" i="18"/>
  <c r="L46" i="18"/>
  <c r="N46" i="18"/>
  <c r="L47" i="18"/>
  <c r="N47" i="18"/>
  <c r="L48" i="18"/>
  <c r="N48" i="18"/>
  <c r="L49" i="18"/>
  <c r="N49" i="18"/>
  <c r="L50" i="18"/>
  <c r="N50" i="18"/>
  <c r="L51" i="18"/>
  <c r="N51" i="18"/>
  <c r="L52" i="18"/>
  <c r="N52" i="18"/>
  <c r="L53" i="18"/>
  <c r="N53" i="18"/>
  <c r="L54" i="18"/>
  <c r="N54" i="18"/>
  <c r="L55" i="18"/>
  <c r="N55" i="18"/>
  <c r="L56" i="18"/>
  <c r="N56" i="18"/>
  <c r="L57" i="18"/>
  <c r="N57" i="18"/>
  <c r="L58" i="18"/>
  <c r="N58" i="18"/>
  <c r="L59" i="18"/>
  <c r="N59" i="18"/>
  <c r="L60" i="18"/>
  <c r="N60" i="18"/>
  <c r="L61" i="18"/>
  <c r="N61" i="18"/>
  <c r="L62" i="18"/>
  <c r="N62" i="18"/>
  <c r="L63" i="18"/>
  <c r="N63" i="18"/>
  <c r="L64" i="18"/>
  <c r="N64" i="18"/>
  <c r="L65" i="18"/>
  <c r="N65" i="18"/>
  <c r="L66" i="18"/>
  <c r="N66" i="18"/>
  <c r="L67" i="18"/>
  <c r="N67" i="18"/>
  <c r="L68" i="18"/>
  <c r="N68" i="18"/>
  <c r="L69" i="18"/>
  <c r="N69" i="18"/>
  <c r="L70" i="18"/>
  <c r="N70" i="18"/>
  <c r="L71" i="18"/>
  <c r="N71" i="18"/>
  <c r="L72" i="18"/>
  <c r="N72" i="18"/>
  <c r="L73" i="18"/>
  <c r="N73" i="18"/>
  <c r="D90" i="18"/>
  <c r="D92" i="18"/>
  <c r="J94" i="18"/>
  <c r="L94" i="18"/>
  <c r="D97" i="18"/>
  <c r="O108" i="18"/>
  <c r="O109" i="18"/>
  <c r="O110" i="18"/>
  <c r="M112" i="18"/>
  <c r="O112" i="18"/>
  <c r="M113" i="18"/>
  <c r="O113" i="18"/>
  <c r="M114" i="18"/>
  <c r="O114" i="18"/>
  <c r="M115" i="18"/>
  <c r="O115" i="18"/>
  <c r="M116" i="18"/>
  <c r="O116" i="18"/>
  <c r="M117" i="18"/>
  <c r="O117" i="18"/>
  <c r="M118" i="18"/>
  <c r="O118" i="18"/>
  <c r="M119" i="18"/>
  <c r="O119" i="18"/>
  <c r="M120" i="18"/>
  <c r="O120" i="18"/>
  <c r="M121" i="18"/>
  <c r="O121" i="18"/>
  <c r="M122" i="18"/>
  <c r="O122" i="18"/>
  <c r="M123" i="18"/>
  <c r="O123" i="18"/>
  <c r="M124" i="18"/>
  <c r="O124" i="18"/>
  <c r="M125" i="18"/>
  <c r="O125" i="18"/>
  <c r="M126" i="18"/>
  <c r="O126" i="18"/>
  <c r="M127" i="18"/>
  <c r="O127" i="18"/>
  <c r="M128" i="18"/>
  <c r="O128" i="18"/>
  <c r="M129" i="18"/>
  <c r="O129" i="18"/>
  <c r="M130" i="18"/>
  <c r="O130" i="18"/>
  <c r="M131" i="18"/>
  <c r="O131" i="18"/>
  <c r="M132" i="18"/>
  <c r="O132" i="18"/>
  <c r="M133" i="18"/>
  <c r="O133" i="18"/>
  <c r="M134" i="18"/>
  <c r="O134" i="18"/>
  <c r="M135" i="18"/>
  <c r="O135" i="18"/>
  <c r="M136" i="18"/>
  <c r="O136" i="18"/>
  <c r="M137" i="18"/>
  <c r="O137" i="18"/>
  <c r="M138" i="18"/>
  <c r="O138" i="18"/>
  <c r="M139" i="18"/>
  <c r="O139" i="18"/>
  <c r="M140" i="18"/>
  <c r="O140" i="18"/>
  <c r="M141" i="18"/>
  <c r="O141" i="18"/>
  <c r="M142" i="18"/>
  <c r="O142" i="18"/>
  <c r="M143" i="18"/>
  <c r="O143" i="18"/>
  <c r="M144" i="18"/>
  <c r="O144" i="18"/>
  <c r="M145" i="18"/>
  <c r="O145" i="18"/>
  <c r="M146" i="18"/>
  <c r="O146" i="18"/>
  <c r="M147" i="18"/>
  <c r="O147" i="18"/>
  <c r="M148" i="18"/>
  <c r="O148" i="18"/>
  <c r="M149" i="18"/>
  <c r="O149" i="18"/>
  <c r="M150" i="18"/>
  <c r="O150" i="18"/>
  <c r="M151" i="18"/>
  <c r="O151" i="18"/>
  <c r="M152" i="18"/>
  <c r="O152" i="18"/>
  <c r="M153" i="18"/>
  <c r="O153" i="18"/>
  <c r="M154" i="18"/>
  <c r="O154" i="18"/>
  <c r="M155" i="18"/>
  <c r="O155" i="18"/>
  <c r="B17" i="3"/>
  <c r="B17" i="4"/>
  <c r="M17" i="4"/>
  <c r="N17" i="4" s="1"/>
  <c r="B101" i="4"/>
  <c r="B100" i="4"/>
  <c r="B19" i="4"/>
  <c r="B18" i="4"/>
  <c r="B19" i="3"/>
  <c r="B18" i="3"/>
  <c r="B100" i="3"/>
  <c r="M17" i="3"/>
  <c r="N17" i="3" s="1"/>
  <c r="P1" i="13"/>
  <c r="P84" i="13" s="1"/>
  <c r="P1" i="4"/>
  <c r="P84" i="4" s="1"/>
  <c r="P1" i="3"/>
  <c r="P84" i="3" s="1"/>
  <c r="P12" i="17"/>
  <c r="L12" i="17"/>
  <c r="W19" i="17"/>
  <c r="W18" i="17"/>
  <c r="G12" i="17"/>
  <c r="H3" i="3"/>
  <c r="H3" i="4"/>
  <c r="O3" i="3"/>
  <c r="A1" i="2"/>
  <c r="F13" i="1"/>
  <c r="C37" i="1" s="1"/>
  <c r="I11" i="13"/>
  <c r="K11" i="13"/>
  <c r="L17" i="13"/>
  <c r="N17" i="13"/>
  <c r="L18" i="13"/>
  <c r="N18" i="13"/>
  <c r="L19" i="13"/>
  <c r="N19" i="13"/>
  <c r="L20" i="13"/>
  <c r="N20" i="13"/>
  <c r="L21" i="13"/>
  <c r="N21" i="13"/>
  <c r="L22" i="13"/>
  <c r="N22" i="13"/>
  <c r="L23" i="13"/>
  <c r="N23" i="13"/>
  <c r="L24" i="13"/>
  <c r="N24" i="13"/>
  <c r="L25" i="13"/>
  <c r="N25" i="13"/>
  <c r="L26" i="13"/>
  <c r="N26" i="13"/>
  <c r="L27" i="13"/>
  <c r="N27" i="13"/>
  <c r="L28" i="13"/>
  <c r="N28" i="13"/>
  <c r="L29" i="13"/>
  <c r="N29" i="13"/>
  <c r="L30" i="13"/>
  <c r="N30" i="13"/>
  <c r="L31" i="13"/>
  <c r="N31" i="13"/>
  <c r="L32" i="13"/>
  <c r="N32" i="13"/>
  <c r="L33" i="13"/>
  <c r="N33" i="13"/>
  <c r="L34" i="13"/>
  <c r="N34" i="13"/>
  <c r="L35" i="13"/>
  <c r="N35" i="13"/>
  <c r="L36" i="13"/>
  <c r="N36" i="13"/>
  <c r="L37" i="13"/>
  <c r="N37" i="13"/>
  <c r="L38" i="13"/>
  <c r="N38" i="13"/>
  <c r="L39" i="13"/>
  <c r="N39" i="13"/>
  <c r="L40" i="13"/>
  <c r="N40" i="13"/>
  <c r="L41" i="13"/>
  <c r="N41" i="13"/>
  <c r="L42" i="13"/>
  <c r="N42" i="13"/>
  <c r="L43" i="13"/>
  <c r="N43" i="13"/>
  <c r="L44" i="13"/>
  <c r="N44" i="13"/>
  <c r="L45" i="13"/>
  <c r="N45" i="13"/>
  <c r="L46" i="13"/>
  <c r="N46" i="13"/>
  <c r="L47" i="13"/>
  <c r="N47" i="13"/>
  <c r="L48" i="13"/>
  <c r="N48" i="13"/>
  <c r="L49" i="13"/>
  <c r="N49" i="13"/>
  <c r="L50" i="13"/>
  <c r="N50" i="13"/>
  <c r="L51" i="13"/>
  <c r="N51" i="13"/>
  <c r="L52" i="13"/>
  <c r="N52" i="13"/>
  <c r="L53" i="13"/>
  <c r="N53" i="13"/>
  <c r="L54" i="13"/>
  <c r="N54" i="13"/>
  <c r="L55" i="13"/>
  <c r="N55" i="13"/>
  <c r="L56" i="13"/>
  <c r="N56" i="13"/>
  <c r="L57" i="13"/>
  <c r="N57" i="13"/>
  <c r="L58" i="13"/>
  <c r="N58" i="13"/>
  <c r="L59" i="13"/>
  <c r="N59" i="13"/>
  <c r="L60" i="13"/>
  <c r="N60" i="13"/>
  <c r="L61" i="13"/>
  <c r="N61" i="13"/>
  <c r="L62" i="13"/>
  <c r="N62" i="13"/>
  <c r="L63" i="13"/>
  <c r="N63" i="13"/>
  <c r="L64" i="13"/>
  <c r="N64" i="13"/>
  <c r="L65" i="13"/>
  <c r="N65" i="13"/>
  <c r="L66" i="13"/>
  <c r="N66" i="13"/>
  <c r="L67" i="13"/>
  <c r="N67" i="13"/>
  <c r="L68" i="13"/>
  <c r="N68" i="13"/>
  <c r="L69" i="13"/>
  <c r="N69" i="13"/>
  <c r="L70" i="13"/>
  <c r="N70" i="13"/>
  <c r="L71" i="13"/>
  <c r="N71" i="13"/>
  <c r="D90" i="13"/>
  <c r="D92" i="13"/>
  <c r="J94" i="13"/>
  <c r="L94" i="13"/>
  <c r="D97" i="13"/>
  <c r="M100" i="13"/>
  <c r="O100" i="13"/>
  <c r="M101" i="13"/>
  <c r="O101" i="13"/>
  <c r="M102" i="13"/>
  <c r="O102" i="13"/>
  <c r="M103" i="13"/>
  <c r="O103" i="13"/>
  <c r="M104" i="13"/>
  <c r="O104" i="13"/>
  <c r="M105" i="13"/>
  <c r="O105" i="13"/>
  <c r="M106" i="13"/>
  <c r="O106" i="13"/>
  <c r="M107" i="13"/>
  <c r="O107" i="13"/>
  <c r="M108" i="13"/>
  <c r="O108" i="13"/>
  <c r="M109" i="13"/>
  <c r="O109"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J132" i="13"/>
  <c r="M132" i="13"/>
  <c r="O132" i="13"/>
  <c r="P132" i="13"/>
  <c r="J133" i="13"/>
  <c r="M133" i="13"/>
  <c r="O133" i="13"/>
  <c r="P133" i="13"/>
  <c r="J134" i="13"/>
  <c r="M134" i="13"/>
  <c r="O134" i="13"/>
  <c r="P134" i="13"/>
  <c r="J135" i="13"/>
  <c r="M135" i="13"/>
  <c r="O135" i="13"/>
  <c r="P135" i="13"/>
  <c r="J136" i="13"/>
  <c r="M136" i="13"/>
  <c r="O136" i="13"/>
  <c r="P136" i="13"/>
  <c r="J137" i="13"/>
  <c r="M137" i="13"/>
  <c r="O137" i="13"/>
  <c r="P137" i="13"/>
  <c r="J138" i="13"/>
  <c r="M138" i="13"/>
  <c r="O138" i="13"/>
  <c r="P138" i="13"/>
  <c r="J139" i="13"/>
  <c r="M139" i="13"/>
  <c r="O139" i="13"/>
  <c r="P139" i="13"/>
  <c r="J140" i="13"/>
  <c r="M140" i="13"/>
  <c r="O140" i="13"/>
  <c r="P140" i="13"/>
  <c r="J141" i="13"/>
  <c r="M141" i="13"/>
  <c r="O141" i="13"/>
  <c r="P141" i="13"/>
  <c r="J142" i="13"/>
  <c r="M142" i="13"/>
  <c r="O142" i="13"/>
  <c r="P142" i="13"/>
  <c r="J143" i="13"/>
  <c r="M143" i="13"/>
  <c r="O143" i="13"/>
  <c r="P143" i="13"/>
  <c r="J144" i="13"/>
  <c r="M144" i="13"/>
  <c r="O144" i="13"/>
  <c r="P144" i="13"/>
  <c r="J145" i="13"/>
  <c r="M145" i="13"/>
  <c r="O145" i="13"/>
  <c r="P145" i="13"/>
  <c r="J146" i="13"/>
  <c r="M146" i="13"/>
  <c r="O146" i="13"/>
  <c r="P146" i="13"/>
  <c r="J147" i="13"/>
  <c r="M147" i="13"/>
  <c r="O147" i="13"/>
  <c r="P147" i="13"/>
  <c r="J148" i="13"/>
  <c r="M148" i="13"/>
  <c r="O148" i="13"/>
  <c r="P148" i="13"/>
  <c r="J149" i="13"/>
  <c r="M149" i="13"/>
  <c r="O149" i="13"/>
  <c r="P149" i="13"/>
  <c r="J150" i="13"/>
  <c r="M150" i="13"/>
  <c r="O150" i="13"/>
  <c r="P150" i="13"/>
  <c r="J151" i="13"/>
  <c r="M151" i="13"/>
  <c r="O151" i="13"/>
  <c r="P151" i="13"/>
  <c r="J152" i="13"/>
  <c r="M152" i="13"/>
  <c r="O152" i="13"/>
  <c r="P152" i="13"/>
  <c r="J153" i="13"/>
  <c r="M153" i="13"/>
  <c r="O153" i="13"/>
  <c r="P153" i="13"/>
  <c r="J154" i="13"/>
  <c r="M154" i="13"/>
  <c r="O154" i="13"/>
  <c r="P154" i="13"/>
  <c r="J155" i="13"/>
  <c r="M155" i="13"/>
  <c r="O155" i="13"/>
  <c r="P155" i="13"/>
  <c r="K11" i="4"/>
  <c r="I17" i="4"/>
  <c r="I18" i="4"/>
  <c r="N28" i="4"/>
  <c r="N29" i="4"/>
  <c r="N30" i="4"/>
  <c r="L31" i="4"/>
  <c r="N31" i="4"/>
  <c r="L33" i="4"/>
  <c r="N33" i="4"/>
  <c r="L34" i="4"/>
  <c r="N34" i="4"/>
  <c r="L35" i="4"/>
  <c r="N35" i="4"/>
  <c r="L36" i="4"/>
  <c r="N36" i="4"/>
  <c r="L37" i="4"/>
  <c r="N37" i="4"/>
  <c r="L38" i="4"/>
  <c r="N38" i="4"/>
  <c r="L39" i="4"/>
  <c r="N39" i="4"/>
  <c r="L40" i="4"/>
  <c r="N40" i="4"/>
  <c r="L41" i="4"/>
  <c r="N41" i="4"/>
  <c r="L42" i="4"/>
  <c r="N42" i="4"/>
  <c r="L43" i="4"/>
  <c r="N43" i="4"/>
  <c r="L44" i="4"/>
  <c r="N44" i="4"/>
  <c r="L45" i="4"/>
  <c r="N45" i="4"/>
  <c r="L46" i="4"/>
  <c r="N46" i="4"/>
  <c r="L47" i="4"/>
  <c r="N47" i="4"/>
  <c r="L48" i="4"/>
  <c r="N48" i="4"/>
  <c r="L49" i="4"/>
  <c r="N49" i="4"/>
  <c r="L50" i="4"/>
  <c r="N50" i="4"/>
  <c r="L51" i="4"/>
  <c r="N51" i="4"/>
  <c r="L52" i="4"/>
  <c r="N52" i="4"/>
  <c r="L53" i="4"/>
  <c r="N53" i="4"/>
  <c r="L54" i="4"/>
  <c r="N54" i="4"/>
  <c r="L55" i="4"/>
  <c r="N55" i="4"/>
  <c r="L56" i="4"/>
  <c r="N56" i="4"/>
  <c r="L57" i="4"/>
  <c r="N57" i="4"/>
  <c r="L58" i="4"/>
  <c r="N58" i="4"/>
  <c r="L59" i="4"/>
  <c r="N59" i="4"/>
  <c r="L60" i="4"/>
  <c r="N60" i="4"/>
  <c r="L61" i="4"/>
  <c r="N61" i="4"/>
  <c r="L62" i="4"/>
  <c r="N62" i="4"/>
  <c r="L63" i="4"/>
  <c r="N63" i="4"/>
  <c r="L64" i="4"/>
  <c r="N64" i="4"/>
  <c r="L65" i="4"/>
  <c r="N65" i="4"/>
  <c r="L66" i="4"/>
  <c r="N66" i="4"/>
  <c r="L67" i="4"/>
  <c r="N67" i="4"/>
  <c r="L68" i="4"/>
  <c r="N68" i="4"/>
  <c r="L69" i="4"/>
  <c r="N69" i="4"/>
  <c r="L70" i="4"/>
  <c r="N70" i="4"/>
  <c r="L71" i="4"/>
  <c r="N71" i="4"/>
  <c r="L72" i="4"/>
  <c r="N72" i="4"/>
  <c r="L73" i="4"/>
  <c r="N73" i="4"/>
  <c r="D90" i="4"/>
  <c r="D92" i="4"/>
  <c r="J94" i="4"/>
  <c r="L94" i="4"/>
  <c r="D97" i="4"/>
  <c r="O111" i="4"/>
  <c r="M113" i="4"/>
  <c r="O113" i="4"/>
  <c r="M114" i="4"/>
  <c r="O114" i="4"/>
  <c r="M115" i="4"/>
  <c r="O115" i="4"/>
  <c r="M116" i="4"/>
  <c r="O116" i="4"/>
  <c r="M117" i="4"/>
  <c r="O117" i="4"/>
  <c r="M118" i="4"/>
  <c r="O118" i="4"/>
  <c r="M119" i="4"/>
  <c r="O119" i="4"/>
  <c r="M120" i="4"/>
  <c r="O120" i="4"/>
  <c r="M121" i="4"/>
  <c r="O121" i="4"/>
  <c r="M122" i="4"/>
  <c r="O122" i="4"/>
  <c r="M123" i="4"/>
  <c r="O123" i="4"/>
  <c r="M124" i="4"/>
  <c r="O124" i="4"/>
  <c r="M125" i="4"/>
  <c r="O125" i="4"/>
  <c r="M126" i="4"/>
  <c r="O126" i="4"/>
  <c r="M127" i="4"/>
  <c r="O127" i="4"/>
  <c r="M128" i="4"/>
  <c r="O128" i="4"/>
  <c r="M129" i="4"/>
  <c r="O129" i="4"/>
  <c r="M130" i="4"/>
  <c r="O130" i="4"/>
  <c r="M131" i="4"/>
  <c r="O131" i="4"/>
  <c r="M132" i="4"/>
  <c r="O132" i="4"/>
  <c r="M133" i="4"/>
  <c r="O133" i="4"/>
  <c r="M134" i="4"/>
  <c r="O134" i="4"/>
  <c r="M135" i="4"/>
  <c r="O135" i="4"/>
  <c r="M136" i="4"/>
  <c r="O136" i="4"/>
  <c r="M137" i="4"/>
  <c r="O137" i="4"/>
  <c r="M138" i="4"/>
  <c r="O138" i="4"/>
  <c r="M139" i="4"/>
  <c r="O139" i="4"/>
  <c r="M140" i="4"/>
  <c r="O140" i="4"/>
  <c r="M141" i="4"/>
  <c r="O141" i="4"/>
  <c r="M142" i="4"/>
  <c r="O142" i="4"/>
  <c r="M143" i="4"/>
  <c r="O143" i="4"/>
  <c r="M144" i="4"/>
  <c r="O144" i="4"/>
  <c r="M145" i="4"/>
  <c r="O145" i="4"/>
  <c r="M146" i="4"/>
  <c r="O146" i="4"/>
  <c r="M147" i="4"/>
  <c r="O147" i="4"/>
  <c r="M148" i="4"/>
  <c r="O148" i="4"/>
  <c r="M149" i="4"/>
  <c r="O149" i="4"/>
  <c r="M150" i="4"/>
  <c r="O150" i="4"/>
  <c r="M151" i="4"/>
  <c r="O151" i="4"/>
  <c r="M152" i="4"/>
  <c r="O152" i="4"/>
  <c r="M153" i="4"/>
  <c r="O153" i="4"/>
  <c r="M154" i="4"/>
  <c r="O154" i="4"/>
  <c r="M155" i="4"/>
  <c r="O155" i="4"/>
  <c r="K11" i="3"/>
  <c r="I17" i="3"/>
  <c r="I18" i="3"/>
  <c r="N28" i="3"/>
  <c r="N29" i="3"/>
  <c r="N30" i="3"/>
  <c r="L44" i="3"/>
  <c r="N44" i="3"/>
  <c r="L45" i="3"/>
  <c r="N45" i="3"/>
  <c r="L46" i="3"/>
  <c r="N46" i="3"/>
  <c r="L47" i="3"/>
  <c r="N47" i="3"/>
  <c r="L48" i="3"/>
  <c r="N48" i="3"/>
  <c r="L49" i="3"/>
  <c r="N49" i="3"/>
  <c r="L50" i="3"/>
  <c r="N50" i="3"/>
  <c r="L51" i="3"/>
  <c r="N51" i="3"/>
  <c r="L52" i="3"/>
  <c r="N52" i="3"/>
  <c r="L53" i="3"/>
  <c r="N53" i="3"/>
  <c r="L54" i="3"/>
  <c r="N54" i="3"/>
  <c r="L55" i="3"/>
  <c r="N55" i="3"/>
  <c r="L56" i="3"/>
  <c r="N56" i="3"/>
  <c r="L57" i="3"/>
  <c r="N57" i="3"/>
  <c r="L58" i="3"/>
  <c r="N58" i="3"/>
  <c r="L59" i="3"/>
  <c r="N59" i="3"/>
  <c r="L60" i="3"/>
  <c r="N60" i="3"/>
  <c r="L61" i="3"/>
  <c r="N61" i="3"/>
  <c r="L62" i="3"/>
  <c r="N62" i="3"/>
  <c r="L63" i="3"/>
  <c r="N63" i="3"/>
  <c r="L64" i="3"/>
  <c r="N64" i="3"/>
  <c r="L65" i="3"/>
  <c r="N65" i="3"/>
  <c r="L66" i="3"/>
  <c r="N66" i="3"/>
  <c r="L67" i="3"/>
  <c r="N67" i="3"/>
  <c r="L68" i="3"/>
  <c r="N68" i="3"/>
  <c r="L69" i="3"/>
  <c r="N69" i="3"/>
  <c r="L70" i="3"/>
  <c r="N70" i="3"/>
  <c r="L71" i="3"/>
  <c r="N71" i="3"/>
  <c r="L72" i="3"/>
  <c r="N72" i="3"/>
  <c r="L73" i="3"/>
  <c r="N73" i="3"/>
  <c r="D90" i="3"/>
  <c r="D92" i="3"/>
  <c r="J94" i="3"/>
  <c r="L94" i="3"/>
  <c r="D97" i="3"/>
  <c r="O109" i="3"/>
  <c r="O110" i="3"/>
  <c r="O111" i="3"/>
  <c r="M113" i="3"/>
  <c r="O113" i="3"/>
  <c r="M114" i="3"/>
  <c r="O114" i="3"/>
  <c r="M115" i="3"/>
  <c r="O115" i="3"/>
  <c r="M116" i="3"/>
  <c r="O116" i="3"/>
  <c r="M117" i="3"/>
  <c r="O117" i="3"/>
  <c r="M118" i="3"/>
  <c r="O118" i="3"/>
  <c r="M119" i="3"/>
  <c r="O119" i="3"/>
  <c r="M120" i="3"/>
  <c r="O120" i="3"/>
  <c r="M121" i="3"/>
  <c r="O121" i="3"/>
  <c r="M122" i="3"/>
  <c r="O122" i="3"/>
  <c r="M123" i="3"/>
  <c r="O123" i="3"/>
  <c r="M124" i="3"/>
  <c r="O124" i="3"/>
  <c r="M125" i="3"/>
  <c r="O125" i="3"/>
  <c r="M126" i="3"/>
  <c r="O126" i="3"/>
  <c r="M127" i="3"/>
  <c r="O127" i="3"/>
  <c r="M128" i="3"/>
  <c r="O128" i="3"/>
  <c r="M129" i="3"/>
  <c r="O129" i="3"/>
  <c r="M130" i="3"/>
  <c r="O130" i="3"/>
  <c r="M131" i="3"/>
  <c r="O131" i="3"/>
  <c r="M132" i="3"/>
  <c r="O132" i="3"/>
  <c r="M133" i="3"/>
  <c r="O133" i="3"/>
  <c r="M134" i="3"/>
  <c r="O134" i="3"/>
  <c r="M135" i="3"/>
  <c r="O135" i="3"/>
  <c r="M136" i="3"/>
  <c r="O136" i="3"/>
  <c r="M137" i="3"/>
  <c r="O137" i="3"/>
  <c r="M138" i="3"/>
  <c r="O138" i="3"/>
  <c r="M139" i="3"/>
  <c r="O139" i="3"/>
  <c r="M140" i="3"/>
  <c r="O140" i="3"/>
  <c r="M141" i="3"/>
  <c r="O141" i="3"/>
  <c r="M142" i="3"/>
  <c r="O142" i="3"/>
  <c r="M143" i="3"/>
  <c r="O143" i="3"/>
  <c r="M144" i="3"/>
  <c r="O144" i="3"/>
  <c r="M145" i="3"/>
  <c r="O145" i="3"/>
  <c r="M146" i="3"/>
  <c r="O146" i="3"/>
  <c r="M147" i="3"/>
  <c r="O147" i="3"/>
  <c r="M148" i="3"/>
  <c r="O148" i="3"/>
  <c r="M149" i="3"/>
  <c r="O149" i="3"/>
  <c r="M150" i="3"/>
  <c r="O150" i="3"/>
  <c r="M151" i="3"/>
  <c r="O151" i="3"/>
  <c r="M152" i="3"/>
  <c r="O152" i="3"/>
  <c r="M153" i="3"/>
  <c r="O153" i="3"/>
  <c r="M154" i="3"/>
  <c r="O154" i="3"/>
  <c r="M155" i="3"/>
  <c r="O155" i="3"/>
  <c r="C40" i="2"/>
  <c r="C52" i="2"/>
  <c r="E24" i="1"/>
  <c r="E34" i="1"/>
  <c r="C38" i="1"/>
  <c r="C42" i="1"/>
  <c r="F43" i="1"/>
  <c r="C44" i="1"/>
  <c r="F45" i="1"/>
  <c r="C50" i="1"/>
  <c r="F62" i="1"/>
  <c r="C72" i="1"/>
  <c r="C86" i="1"/>
  <c r="S128" i="1"/>
  <c r="S129" i="1"/>
  <c r="S130" i="1"/>
  <c r="E31" i="2"/>
  <c r="D19" i="2"/>
  <c r="D18" i="2"/>
  <c r="D17" i="2"/>
  <c r="F13" i="2"/>
  <c r="C76" i="2" s="1"/>
  <c r="J100" i="4"/>
  <c r="J100" i="3"/>
  <c r="E18" i="2"/>
  <c r="E17" i="2"/>
  <c r="E24" i="2"/>
  <c r="F64" i="2"/>
  <c r="C90" i="2"/>
  <c r="C89" i="2"/>
  <c r="C64" i="2"/>
  <c r="C31" i="2"/>
  <c r="C24" i="2"/>
  <c r="C12" i="2"/>
  <c r="B101" i="3"/>
  <c r="B100" i="18"/>
  <c r="B19" i="19"/>
  <c r="B18" i="20"/>
  <c r="B100" i="19"/>
  <c r="B21" i="4"/>
  <c r="B20" i="4"/>
  <c r="B20" i="3"/>
  <c r="B18" i="21"/>
  <c r="B19" i="18"/>
  <c r="C100" i="2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C133" i="21" s="1"/>
  <c r="C134" i="21" s="1"/>
  <c r="C135" i="21" s="1"/>
  <c r="C136" i="21" s="1"/>
  <c r="C137" i="21" s="1"/>
  <c r="C138" i="21" s="1"/>
  <c r="C139" i="21" s="1"/>
  <c r="C140" i="21" s="1"/>
  <c r="C141" i="21" s="1"/>
  <c r="C142" i="21" s="1"/>
  <c r="C143" i="21" s="1"/>
  <c r="C144" i="21" s="1"/>
  <c r="C145" i="21" s="1"/>
  <c r="C146" i="21" s="1"/>
  <c r="C147" i="21" s="1"/>
  <c r="C148" i="21" s="1"/>
  <c r="C149" i="21" s="1"/>
  <c r="C150" i="21" s="1"/>
  <c r="C151" i="21" s="1"/>
  <c r="C152" i="21" s="1"/>
  <c r="C153" i="21" s="1"/>
  <c r="C154" i="21" s="1"/>
  <c r="C155" i="21" s="1"/>
  <c r="B100" i="21"/>
  <c r="B102" i="3"/>
  <c r="B101" i="19"/>
  <c r="B102" i="4"/>
  <c r="B101" i="18"/>
  <c r="B101" i="21"/>
  <c r="B20" i="19"/>
  <c r="B20" i="18"/>
  <c r="B22" i="3"/>
  <c r="B20" i="21"/>
  <c r="B21" i="19"/>
  <c r="B103" i="4"/>
  <c r="B103" i="3"/>
  <c r="B102" i="19"/>
  <c r="B102" i="21"/>
  <c r="B22" i="4"/>
  <c r="B23" i="3"/>
  <c r="B23" i="4"/>
  <c r="B102" i="18"/>
  <c r="M17" i="28"/>
  <c r="N17" i="28" s="1"/>
  <c r="K17" i="28"/>
  <c r="L17" i="28" s="1"/>
  <c r="J102" i="18"/>
  <c r="I22" i="3"/>
  <c r="B105" i="3"/>
  <c r="B104" i="3"/>
  <c r="B103" i="18"/>
  <c r="B104" i="4"/>
  <c r="B100" i="25"/>
  <c r="E13" i="17"/>
  <c r="B105" i="4"/>
  <c r="B103" i="19"/>
  <c r="B22" i="18"/>
  <c r="B104" i="19"/>
  <c r="J105" i="4"/>
  <c r="B104" i="18"/>
  <c r="B20" i="26"/>
  <c r="B103" i="24"/>
  <c r="B20" i="22"/>
  <c r="B20" i="23"/>
  <c r="B21" i="27"/>
  <c r="B102" i="26"/>
  <c r="J104" i="18"/>
  <c r="I20" i="27"/>
  <c r="I20" i="28"/>
  <c r="I19" i="26"/>
  <c r="I19" i="22"/>
  <c r="B21" i="21"/>
  <c r="B23" i="19"/>
  <c r="I23" i="3"/>
  <c r="B105" i="19"/>
  <c r="I22" i="18"/>
  <c r="I17" i="29"/>
  <c r="B24" i="3"/>
  <c r="B21" i="24"/>
  <c r="I19" i="23"/>
  <c r="I22" i="19"/>
  <c r="I20" i="24"/>
  <c r="B23" i="18"/>
  <c r="I20" i="21"/>
  <c r="B24" i="4"/>
  <c r="I23" i="4"/>
  <c r="J105" i="3"/>
  <c r="I18" i="25"/>
  <c r="B17" i="35"/>
  <c r="B19" i="25"/>
  <c r="B103" i="28"/>
  <c r="B103" i="27"/>
  <c r="B101" i="25"/>
  <c r="B103" i="21"/>
  <c r="B17" i="13"/>
  <c r="I14" i="13"/>
  <c r="E17" i="13"/>
  <c r="B102" i="22"/>
  <c r="A5" i="2"/>
  <c r="B104" i="27"/>
  <c r="B103" i="26"/>
  <c r="B104" i="21"/>
  <c r="B106" i="19"/>
  <c r="B104" i="28"/>
  <c r="B22" i="24"/>
  <c r="B24" i="19"/>
  <c r="B21" i="23"/>
  <c r="B18" i="34"/>
  <c r="J103" i="24"/>
  <c r="J103" i="28"/>
  <c r="J102" i="26"/>
  <c r="J101" i="25"/>
  <c r="J103" i="27"/>
  <c r="J103" i="21"/>
  <c r="J105" i="19"/>
  <c r="B25" i="4"/>
  <c r="I17" i="34"/>
  <c r="I23" i="18"/>
  <c r="I23" i="19"/>
  <c r="I17" i="31"/>
  <c r="I21" i="24"/>
  <c r="I18" i="29"/>
  <c r="I24" i="3"/>
  <c r="I20" i="26"/>
  <c r="B18" i="31"/>
  <c r="I19" i="25"/>
  <c r="I21" i="21"/>
  <c r="B25" i="3"/>
  <c r="I20" i="23"/>
  <c r="I21" i="27"/>
  <c r="I24" i="4"/>
  <c r="B22" i="28"/>
  <c r="B22" i="27"/>
  <c r="B102" i="24"/>
  <c r="B104" i="24"/>
  <c r="B102" i="25"/>
  <c r="B21" i="22"/>
  <c r="B22" i="21"/>
  <c r="I17" i="35"/>
  <c r="I21" i="28"/>
  <c r="B106" i="3"/>
  <c r="B107" i="4"/>
  <c r="B105" i="18"/>
  <c r="J106" i="4"/>
  <c r="J100" i="29"/>
  <c r="J106" i="3"/>
  <c r="J102" i="23"/>
  <c r="J102" i="22"/>
  <c r="J105" i="18"/>
  <c r="J97" i="13"/>
  <c r="B107" i="3"/>
  <c r="D17" i="1"/>
  <c r="E17" i="1"/>
  <c r="I10" i="18"/>
  <c r="D95" i="18" s="1"/>
  <c r="I10" i="22"/>
  <c r="D93" i="22" s="1"/>
  <c r="B104" i="22" s="1"/>
  <c r="I10" i="26"/>
  <c r="I10" i="29"/>
  <c r="D95" i="29" s="1"/>
  <c r="E100" i="13"/>
  <c r="B100" i="34"/>
  <c r="B103" i="22"/>
  <c r="E18" i="1"/>
  <c r="E41" i="17"/>
  <c r="B100" i="35"/>
  <c r="J95" i="27"/>
  <c r="J96" i="27" s="1"/>
  <c r="B24" i="18"/>
  <c r="B21" i="26"/>
  <c r="B20" i="25"/>
  <c r="B18" i="35"/>
  <c r="P41" i="17"/>
  <c r="B100" i="31"/>
  <c r="B106" i="18"/>
  <c r="B105" i="21"/>
  <c r="B101" i="35"/>
  <c r="B107" i="19"/>
  <c r="B105" i="27"/>
  <c r="B108" i="4"/>
  <c r="B26" i="3"/>
  <c r="B25" i="19"/>
  <c r="B101" i="34"/>
  <c r="B105" i="28"/>
  <c r="B22" i="22"/>
  <c r="B25" i="18"/>
  <c r="J100" i="31"/>
  <c r="B23" i="21"/>
  <c r="B23" i="24"/>
  <c r="B22" i="23"/>
  <c r="B22" i="26"/>
  <c r="B26" i="4"/>
  <c r="B104" i="26"/>
  <c r="J102" i="25"/>
  <c r="J104" i="24"/>
  <c r="J100" i="35"/>
  <c r="J107" i="4"/>
  <c r="I18" i="34"/>
  <c r="B23" i="28"/>
  <c r="I19" i="29"/>
  <c r="J101" i="29"/>
  <c r="I18" i="31"/>
  <c r="I25" i="4"/>
  <c r="J103" i="22"/>
  <c r="I17" i="37"/>
  <c r="J104" i="21"/>
  <c r="I25" i="3"/>
  <c r="J100" i="34"/>
  <c r="J107" i="3"/>
  <c r="J106" i="18"/>
  <c r="B101" i="31"/>
  <c r="B105" i="24"/>
  <c r="B103" i="25"/>
  <c r="I18" i="35"/>
  <c r="B19" i="34"/>
  <c r="J95" i="20"/>
  <c r="J96" i="20" s="1"/>
  <c r="J95" i="29"/>
  <c r="J96" i="29" s="1"/>
  <c r="J95" i="18"/>
  <c r="J96" i="18" s="1"/>
  <c r="J95" i="38"/>
  <c r="J95" i="34"/>
  <c r="J96" i="34" s="1"/>
  <c r="J95" i="28"/>
  <c r="J96" i="28" s="1"/>
  <c r="J95" i="4"/>
  <c r="J96" i="4" s="1"/>
  <c r="J95" i="37"/>
  <c r="J96" i="37" s="1"/>
  <c r="J95" i="3"/>
  <c r="J96" i="3" s="1"/>
  <c r="J95" i="23"/>
  <c r="J96" i="23" s="1"/>
  <c r="J95" i="19"/>
  <c r="J96" i="19" s="1"/>
  <c r="J95" i="22"/>
  <c r="J96" i="22" s="1"/>
  <c r="J95" i="24"/>
  <c r="J96" i="24" s="1"/>
  <c r="J95" i="26"/>
  <c r="J96" i="26" s="1"/>
  <c r="J95" i="35"/>
  <c r="J96" i="35" s="1"/>
  <c r="J95" i="25"/>
  <c r="J96" i="25" s="1"/>
  <c r="J95" i="21"/>
  <c r="J96" i="21" s="1"/>
  <c r="J95" i="13"/>
  <c r="J96" i="13" s="1"/>
  <c r="O48" i="17"/>
  <c r="E48" i="17"/>
  <c r="N48" i="17"/>
  <c r="C48" i="17"/>
  <c r="F48" i="17"/>
  <c r="B29" i="42" l="1"/>
  <c r="F29" i="42"/>
  <c r="F112" i="42"/>
  <c r="B112" i="42"/>
  <c r="D94" i="34"/>
  <c r="C100" i="34" s="1"/>
  <c r="C101" i="34" s="1"/>
  <c r="C102" i="34" s="1"/>
  <c r="C103" i="34" s="1"/>
  <c r="C104" i="34" s="1"/>
  <c r="C105" i="34" s="1"/>
  <c r="C106" i="34" s="1"/>
  <c r="C107" i="34" s="1"/>
  <c r="C108" i="34" s="1"/>
  <c r="C109" i="34" s="1"/>
  <c r="C110" i="34" s="1"/>
  <c r="C111" i="34" s="1"/>
  <c r="C112" i="34" s="1"/>
  <c r="C113" i="34" s="1"/>
  <c r="C114" i="34" s="1"/>
  <c r="C115" i="34" s="1"/>
  <c r="C116" i="34" s="1"/>
  <c r="C117" i="34" s="1"/>
  <c r="C118" i="34" s="1"/>
  <c r="C119" i="34" s="1"/>
  <c r="C120" i="34" s="1"/>
  <c r="C121" i="34" s="1"/>
  <c r="C122" i="34" s="1"/>
  <c r="C123" i="34" s="1"/>
  <c r="C124" i="34" s="1"/>
  <c r="C125" i="34" s="1"/>
  <c r="C126" i="34" s="1"/>
  <c r="C127" i="34" s="1"/>
  <c r="O18" i="18"/>
  <c r="P101" i="18"/>
  <c r="C101" i="3"/>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P100" i="29"/>
  <c r="P100" i="34"/>
  <c r="P102" i="21"/>
  <c r="P100" i="28"/>
  <c r="P106" i="18"/>
  <c r="P102" i="28"/>
  <c r="P100" i="26"/>
  <c r="O20" i="26"/>
  <c r="O19" i="22"/>
  <c r="P100" i="24"/>
  <c r="P101" i="22"/>
  <c r="P103" i="3"/>
  <c r="P107" i="4"/>
  <c r="P100" i="35"/>
  <c r="O18" i="3"/>
  <c r="O20" i="21"/>
  <c r="P100" i="25"/>
  <c r="O20" i="18"/>
  <c r="O23" i="3"/>
  <c r="P103" i="21"/>
  <c r="O20" i="23"/>
  <c r="P101" i="24"/>
  <c r="O20" i="27"/>
  <c r="O18" i="25"/>
  <c r="O23" i="4"/>
  <c r="O22" i="19"/>
  <c r="O17" i="29"/>
  <c r="P103" i="28"/>
  <c r="O20" i="19"/>
  <c r="O20" i="28"/>
  <c r="P105" i="3"/>
  <c r="O17" i="18"/>
  <c r="O17" i="22"/>
  <c r="O20" i="24"/>
  <c r="P103" i="18"/>
  <c r="O21" i="19"/>
  <c r="O17" i="31"/>
  <c r="O22" i="18"/>
  <c r="P101" i="4"/>
  <c r="P100" i="19"/>
  <c r="O17" i="21"/>
  <c r="P102" i="3"/>
  <c r="O20" i="4"/>
  <c r="O19" i="18"/>
  <c r="O19" i="19"/>
  <c r="P100" i="21"/>
  <c r="P103" i="4"/>
  <c r="O18" i="26"/>
  <c r="P101" i="26"/>
  <c r="O23" i="19"/>
  <c r="O19" i="25"/>
  <c r="P103" i="26"/>
  <c r="O20" i="3"/>
  <c r="O21" i="4"/>
  <c r="P100" i="22"/>
  <c r="O18" i="27"/>
  <c r="P105" i="19"/>
  <c r="P100" i="4"/>
  <c r="O18" i="4"/>
  <c r="P102" i="24"/>
  <c r="O17" i="19"/>
  <c r="O18" i="28"/>
  <c r="P101" i="23"/>
  <c r="P103" i="24"/>
  <c r="P102" i="26"/>
  <c r="O17" i="35"/>
  <c r="O17" i="3"/>
  <c r="O21" i="3"/>
  <c r="P102" i="19"/>
  <c r="O17" i="23"/>
  <c r="O17" i="25"/>
  <c r="O19" i="24"/>
  <c r="P100" i="31"/>
  <c r="P105" i="4"/>
  <c r="O19" i="23"/>
  <c r="O19" i="26"/>
  <c r="P104" i="18"/>
  <c r="P106" i="4"/>
  <c r="O20" i="22"/>
  <c r="P102" i="23"/>
  <c r="O21" i="24"/>
  <c r="O19" i="4"/>
  <c r="R12" i="17"/>
  <c r="T12" i="17" s="1"/>
  <c r="P101" i="3"/>
  <c r="P100" i="18"/>
  <c r="P101" i="21"/>
  <c r="P100" i="27"/>
  <c r="O19" i="21"/>
  <c r="O18" i="22"/>
  <c r="O24" i="4"/>
  <c r="O17" i="26"/>
  <c r="P103" i="23"/>
  <c r="O18" i="19"/>
  <c r="O17" i="4"/>
  <c r="O17" i="20"/>
  <c r="O18" i="29"/>
  <c r="F17" i="13"/>
  <c r="D18" i="13" s="1"/>
  <c r="B18" i="13" s="1"/>
  <c r="O19" i="3"/>
  <c r="P102" i="4"/>
  <c r="O18" i="24"/>
  <c r="P101" i="28"/>
  <c r="O22" i="3"/>
  <c r="O22" i="4"/>
  <c r="O18" i="23"/>
  <c r="P100" i="23"/>
  <c r="O19" i="27"/>
  <c r="P102" i="27"/>
  <c r="O23" i="18"/>
  <c r="P102" i="22"/>
  <c r="P103" i="27"/>
  <c r="C101" i="37"/>
  <c r="C102" i="37" s="1"/>
  <c r="C103" i="37" s="1"/>
  <c r="C104" i="37" s="1"/>
  <c r="C105" i="37" s="1"/>
  <c r="C106" i="37" s="1"/>
  <c r="C107" i="37" s="1"/>
  <c r="C108" i="37" s="1"/>
  <c r="C109" i="37" s="1"/>
  <c r="C110" i="37" s="1"/>
  <c r="C111" i="37" s="1"/>
  <c r="C112" i="37" s="1"/>
  <c r="C113" i="37" s="1"/>
  <c r="C114" i="37" s="1"/>
  <c r="C115" i="37" s="1"/>
  <c r="C116" i="37" s="1"/>
  <c r="C117" i="37" s="1"/>
  <c r="C118" i="37" s="1"/>
  <c r="C119" i="37" s="1"/>
  <c r="C120" i="37" s="1"/>
  <c r="C121" i="37" s="1"/>
  <c r="C122" i="37" s="1"/>
  <c r="C123" i="37" s="1"/>
  <c r="C124" i="37" s="1"/>
  <c r="C125" i="37" s="1"/>
  <c r="C126" i="37" s="1"/>
  <c r="C127" i="37" s="1"/>
  <c r="C128" i="37" s="1"/>
  <c r="C129" i="37" s="1"/>
  <c r="C130" i="37" s="1"/>
  <c r="C131" i="37" s="1"/>
  <c r="C132" i="37" s="1"/>
  <c r="C133" i="37" s="1"/>
  <c r="C134" i="37" s="1"/>
  <c r="C135" i="37" s="1"/>
  <c r="C136" i="37" s="1"/>
  <c r="C137" i="37" s="1"/>
  <c r="C138" i="37" s="1"/>
  <c r="C139" i="37" s="1"/>
  <c r="C140" i="37" s="1"/>
  <c r="C141" i="37" s="1"/>
  <c r="C142" i="37" s="1"/>
  <c r="C143" i="37" s="1"/>
  <c r="C144" i="37" s="1"/>
  <c r="C145" i="37" s="1"/>
  <c r="C146" i="37" s="1"/>
  <c r="C147" i="37" s="1"/>
  <c r="C148" i="37" s="1"/>
  <c r="C149" i="37" s="1"/>
  <c r="C150" i="37" s="1"/>
  <c r="C151" i="37" s="1"/>
  <c r="C152" i="37" s="1"/>
  <c r="C153" i="37" s="1"/>
  <c r="C154" i="37" s="1"/>
  <c r="C155" i="37" s="1"/>
  <c r="O25" i="3"/>
  <c r="D8" i="19"/>
  <c r="D91" i="19" s="1"/>
  <c r="P102" i="18"/>
  <c r="P104" i="3"/>
  <c r="O21" i="18"/>
  <c r="O19" i="28"/>
  <c r="P101" i="25"/>
  <c r="P104" i="21"/>
  <c r="O21" i="26"/>
  <c r="P104" i="28"/>
  <c r="O18" i="21"/>
  <c r="O17" i="24"/>
  <c r="O17" i="27"/>
  <c r="P104" i="4"/>
  <c r="O22" i="21"/>
  <c r="P102" i="25"/>
  <c r="C28" i="2"/>
  <c r="O72" i="13"/>
  <c r="D94" i="23"/>
  <c r="C100" i="23" s="1"/>
  <c r="C101" i="23" s="1"/>
  <c r="C102" i="23" s="1"/>
  <c r="C103" i="23" s="1"/>
  <c r="C104" i="23" s="1"/>
  <c r="C105" i="23" s="1"/>
  <c r="C106" i="23" s="1"/>
  <c r="C107" i="23" s="1"/>
  <c r="C108" i="23" s="1"/>
  <c r="C109" i="23" s="1"/>
  <c r="C110" i="23" s="1"/>
  <c r="C111" i="23" s="1"/>
  <c r="C112" i="23" s="1"/>
  <c r="C113" i="23" s="1"/>
  <c r="C114" i="23" s="1"/>
  <c r="C115" i="23" s="1"/>
  <c r="C116" i="23" s="1"/>
  <c r="C117" i="23" s="1"/>
  <c r="C118" i="23" s="1"/>
  <c r="C119" i="23" s="1"/>
  <c r="C120" i="23" s="1"/>
  <c r="C121" i="23" s="1"/>
  <c r="C122" i="23" s="1"/>
  <c r="C123" i="23" s="1"/>
  <c r="C124" i="23" s="1"/>
  <c r="C125" i="23" s="1"/>
  <c r="C126" i="23" s="1"/>
  <c r="C127" i="23" s="1"/>
  <c r="D95" i="4"/>
  <c r="I12" i="20"/>
  <c r="I13" i="20" s="1"/>
  <c r="I12" i="39"/>
  <c r="D95" i="23"/>
  <c r="D93" i="18"/>
  <c r="B107" i="18" s="1"/>
  <c r="C59" i="1"/>
  <c r="D94" i="4"/>
  <c r="C100" i="4" s="1"/>
  <c r="C101" i="4" s="1"/>
  <c r="C102" i="4" s="1"/>
  <c r="C103" i="4" s="1"/>
  <c r="C104" i="4" s="1"/>
  <c r="C105" i="4" s="1"/>
  <c r="C106" i="4" s="1"/>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I12" i="26"/>
  <c r="I13" i="26" s="1"/>
  <c r="O42" i="37"/>
  <c r="O52" i="37"/>
  <c r="O54" i="37"/>
  <c r="O64" i="34"/>
  <c r="O21" i="27"/>
  <c r="O21" i="22"/>
  <c r="O24" i="19"/>
  <c r="C59" i="2"/>
  <c r="C77" i="2"/>
  <c r="C50" i="2"/>
  <c r="C14" i="2"/>
  <c r="O18" i="35"/>
  <c r="O18" i="34"/>
  <c r="O18" i="31"/>
  <c r="O25" i="4"/>
  <c r="B108" i="3"/>
  <c r="D94" i="18"/>
  <c r="C100" i="18" s="1"/>
  <c r="C101" i="18" s="1"/>
  <c r="C102" i="18" s="1"/>
  <c r="C103" i="18" s="1"/>
  <c r="C104" i="18" s="1"/>
  <c r="C105" i="18" s="1"/>
  <c r="C106" i="18" s="1"/>
  <c r="C107" i="18" s="1"/>
  <c r="C108" i="18" s="1"/>
  <c r="C109" i="18" s="1"/>
  <c r="C110" i="18" s="1"/>
  <c r="C111" i="18" s="1"/>
  <c r="C112" i="18" s="1"/>
  <c r="C113" i="18" s="1"/>
  <c r="C114" i="18" s="1"/>
  <c r="C115" i="18" s="1"/>
  <c r="C116" i="18" s="1"/>
  <c r="C117" i="18" s="1"/>
  <c r="C118" i="18" s="1"/>
  <c r="C119" i="18" s="1"/>
  <c r="C120" i="18" s="1"/>
  <c r="C121" i="18" s="1"/>
  <c r="C122" i="18" s="1"/>
  <c r="C123" i="18" s="1"/>
  <c r="C124" i="18" s="1"/>
  <c r="C125" i="18" s="1"/>
  <c r="C126" i="18" s="1"/>
  <c r="C127" i="18" s="1"/>
  <c r="D94" i="20"/>
  <c r="C100" i="20" s="1"/>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O17" i="37"/>
  <c r="O50" i="19"/>
  <c r="O29" i="19"/>
  <c r="O46" i="35"/>
  <c r="O33" i="21"/>
  <c r="O36" i="35"/>
  <c r="O62" i="37"/>
  <c r="O64" i="37"/>
  <c r="O66" i="37"/>
  <c r="O22" i="28"/>
  <c r="O64" i="24"/>
  <c r="O20" i="25"/>
  <c r="O67" i="25"/>
  <c r="P124" i="31"/>
  <c r="O38" i="35"/>
  <c r="O67" i="26"/>
  <c r="O45" i="38"/>
  <c r="O47" i="38"/>
  <c r="O51" i="38"/>
  <c r="O55" i="38"/>
  <c r="O57" i="38"/>
  <c r="O59" i="38"/>
  <c r="O63" i="38"/>
  <c r="O65" i="38"/>
  <c r="O67" i="38"/>
  <c r="O71" i="38"/>
  <c r="O47" i="13"/>
  <c r="O29" i="13"/>
  <c r="O33" i="25"/>
  <c r="O33" i="26"/>
  <c r="O33" i="28"/>
  <c r="O25" i="38"/>
  <c r="F46" i="1"/>
  <c r="F50" i="1" s="1"/>
  <c r="D95" i="20"/>
  <c r="E100" i="20"/>
  <c r="O30" i="23"/>
  <c r="O52" i="23"/>
  <c r="O54" i="23"/>
  <c r="O66" i="23"/>
  <c r="O28" i="24"/>
  <c r="O62" i="24"/>
  <c r="O72" i="24"/>
  <c r="O24" i="25"/>
  <c r="O26" i="25"/>
  <c r="O28" i="25"/>
  <c r="O30" i="25"/>
  <c r="O36" i="25"/>
  <c r="O38" i="25"/>
  <c r="O44" i="25"/>
  <c r="O64" i="25"/>
  <c r="O66" i="25"/>
  <c r="O68" i="25"/>
  <c r="O70" i="25"/>
  <c r="O25" i="26"/>
  <c r="O41" i="26"/>
  <c r="O43" i="26"/>
  <c r="O53" i="26"/>
  <c r="O48" i="27"/>
  <c r="O21" i="37"/>
  <c r="O27" i="37"/>
  <c r="O73" i="37"/>
  <c r="O69" i="38"/>
  <c r="C48" i="1"/>
  <c r="C71" i="1"/>
  <c r="C74" i="1"/>
  <c r="D94" i="19"/>
  <c r="C100" i="19" s="1"/>
  <c r="C101" i="19" s="1"/>
  <c r="C102" i="19" s="1"/>
  <c r="C103" i="19" s="1"/>
  <c r="C104" i="19" s="1"/>
  <c r="C105" i="19" s="1"/>
  <c r="C106" i="19" s="1"/>
  <c r="C107" i="19" s="1"/>
  <c r="C108" i="19" s="1"/>
  <c r="C109" i="19" s="1"/>
  <c r="C110" i="19" s="1"/>
  <c r="C111" i="19" s="1"/>
  <c r="C112" i="19" s="1"/>
  <c r="C113" i="19" s="1"/>
  <c r="C114" i="19" s="1"/>
  <c r="C115" i="19" s="1"/>
  <c r="C116" i="19" s="1"/>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C146" i="19" s="1"/>
  <c r="C147" i="19" s="1"/>
  <c r="C148" i="19" s="1"/>
  <c r="C149" i="19" s="1"/>
  <c r="C150" i="19" s="1"/>
  <c r="C151" i="19" s="1"/>
  <c r="C152" i="19" s="1"/>
  <c r="C153" i="19" s="1"/>
  <c r="C154" i="19" s="1"/>
  <c r="C155" i="19" s="1"/>
  <c r="C10" i="1"/>
  <c r="C54" i="1"/>
  <c r="C28" i="1"/>
  <c r="C77" i="1"/>
  <c r="C57" i="1"/>
  <c r="D94" i="25"/>
  <c r="C100" i="25" s="1"/>
  <c r="C101" i="25" s="1"/>
  <c r="C102" i="25" s="1"/>
  <c r="C103" i="25" s="1"/>
  <c r="C104" i="25" s="1"/>
  <c r="C105" i="25" s="1"/>
  <c r="C106" i="25" s="1"/>
  <c r="C107" i="25" s="1"/>
  <c r="C108" i="25" s="1"/>
  <c r="C109" i="25" s="1"/>
  <c r="C110" i="25" s="1"/>
  <c r="C111" i="25" s="1"/>
  <c r="C112" i="25" s="1"/>
  <c r="C113" i="25" s="1"/>
  <c r="C114" i="25" s="1"/>
  <c r="C115" i="25" s="1"/>
  <c r="C116" i="25" s="1"/>
  <c r="C117" i="25" s="1"/>
  <c r="C118" i="25" s="1"/>
  <c r="C119" i="25" s="1"/>
  <c r="C120" i="25" s="1"/>
  <c r="C121" i="25" s="1"/>
  <c r="C122" i="25" s="1"/>
  <c r="C123" i="25" s="1"/>
  <c r="C124" i="25" s="1"/>
  <c r="C125" i="25" s="1"/>
  <c r="C126" i="25" s="1"/>
  <c r="C127" i="25" s="1"/>
  <c r="F14" i="1"/>
  <c r="E19" i="1" s="1"/>
  <c r="F19" i="1" s="1"/>
  <c r="C76" i="1"/>
  <c r="C79" i="1"/>
  <c r="C8" i="1"/>
  <c r="F18" i="1"/>
  <c r="C73" i="1"/>
  <c r="C53" i="1"/>
  <c r="C14" i="1"/>
  <c r="C22" i="1"/>
  <c r="C60" i="1"/>
  <c r="P105" i="37"/>
  <c r="P109" i="37"/>
  <c r="P121" i="37"/>
  <c r="P125" i="37"/>
  <c r="P129" i="37"/>
  <c r="O71" i="21"/>
  <c r="O67" i="21"/>
  <c r="O53" i="21"/>
  <c r="O43" i="21"/>
  <c r="O37" i="21"/>
  <c r="O39" i="22"/>
  <c r="O41" i="22"/>
  <c r="O43" i="22"/>
  <c r="O47" i="22"/>
  <c r="O49" i="22"/>
  <c r="O53" i="22"/>
  <c r="O55" i="22"/>
  <c r="O57" i="22"/>
  <c r="O59" i="22"/>
  <c r="O61" i="22"/>
  <c r="O69" i="22"/>
  <c r="O71" i="22"/>
  <c r="O38" i="28"/>
  <c r="O40" i="28"/>
  <c r="O35" i="31"/>
  <c r="O52" i="31"/>
  <c r="O60" i="31"/>
  <c r="P128" i="31"/>
  <c r="O24" i="35"/>
  <c r="O26" i="35"/>
  <c r="O28" i="35"/>
  <c r="P119" i="35"/>
  <c r="P123" i="35"/>
  <c r="P127" i="35"/>
  <c r="P131" i="35"/>
  <c r="P115" i="35"/>
  <c r="P103" i="35"/>
  <c r="P107" i="35"/>
  <c r="P111" i="35"/>
  <c r="P110" i="38"/>
  <c r="P112" i="31"/>
  <c r="P114" i="37"/>
  <c r="P122" i="37"/>
  <c r="P126" i="37"/>
  <c r="P130" i="37"/>
  <c r="P105" i="38"/>
  <c r="P109" i="38"/>
  <c r="P113" i="38"/>
  <c r="P121" i="38"/>
  <c r="P106" i="37"/>
  <c r="O50" i="4"/>
  <c r="O44" i="4"/>
  <c r="O38" i="4"/>
  <c r="P106" i="31"/>
  <c r="P108" i="31"/>
  <c r="O24" i="34"/>
  <c r="O26" i="34"/>
  <c r="O28" i="34"/>
  <c r="O30" i="34"/>
  <c r="O36" i="34"/>
  <c r="O38" i="34"/>
  <c r="O42" i="34"/>
  <c r="O34" i="35"/>
  <c r="O40" i="35"/>
  <c r="O42" i="35"/>
  <c r="O44" i="35"/>
  <c r="O48" i="35"/>
  <c r="O52" i="35"/>
  <c r="O54" i="35"/>
  <c r="O56" i="35"/>
  <c r="O36" i="4"/>
  <c r="O63" i="20"/>
  <c r="O59" i="20"/>
  <c r="O55" i="20"/>
  <c r="O41" i="20"/>
  <c r="O39" i="20"/>
  <c r="O37" i="20"/>
  <c r="O35" i="20"/>
  <c r="O33" i="20"/>
  <c r="O30" i="20"/>
  <c r="O28" i="20"/>
  <c r="O26" i="20"/>
  <c r="O24" i="20"/>
  <c r="O22" i="20"/>
  <c r="O20" i="20"/>
  <c r="O18" i="20"/>
  <c r="O70" i="21"/>
  <c r="O52" i="21"/>
  <c r="O50" i="21"/>
  <c r="O48" i="21"/>
  <c r="O29" i="21"/>
  <c r="O27" i="21"/>
  <c r="O25" i="22"/>
  <c r="O27" i="22"/>
  <c r="O48" i="22"/>
  <c r="O50" i="22"/>
  <c r="O62" i="22"/>
  <c r="O64" i="22"/>
  <c r="O66" i="22"/>
  <c r="O27" i="28"/>
  <c r="O39" i="28"/>
  <c r="O41" i="28"/>
  <c r="O45" i="28"/>
  <c r="O47" i="28"/>
  <c r="O51" i="28"/>
  <c r="O53" i="28"/>
  <c r="O57" i="28"/>
  <c r="O61" i="28"/>
  <c r="O23" i="34"/>
  <c r="O25" i="34"/>
  <c r="O27" i="34"/>
  <c r="O29" i="34"/>
  <c r="O37" i="34"/>
  <c r="O39" i="34"/>
  <c r="O49" i="34"/>
  <c r="O51" i="34"/>
  <c r="O53" i="34"/>
  <c r="O65" i="34"/>
  <c r="O23" i="35"/>
  <c r="O29" i="35"/>
  <c r="O35" i="35"/>
  <c r="O39" i="35"/>
  <c r="O43" i="35"/>
  <c r="O47" i="35"/>
  <c r="O61" i="35"/>
  <c r="O65" i="35"/>
  <c r="O67" i="35"/>
  <c r="O69" i="35"/>
  <c r="O73" i="35"/>
  <c r="O73" i="13"/>
  <c r="O32" i="37"/>
  <c r="O36" i="37"/>
  <c r="O68" i="37"/>
  <c r="O70" i="37"/>
  <c r="P110" i="37"/>
  <c r="F84" i="1"/>
  <c r="F85" i="1" s="1"/>
  <c r="F87" i="1" s="1"/>
  <c r="F88" i="1" s="1"/>
  <c r="O26" i="38"/>
  <c r="O28" i="38"/>
  <c r="O30" i="38"/>
  <c r="O40" i="38"/>
  <c r="O44" i="38"/>
  <c r="O48" i="38"/>
  <c r="O50" i="38"/>
  <c r="O52" i="38"/>
  <c r="O54" i="38"/>
  <c r="O56" i="38"/>
  <c r="O58" i="38"/>
  <c r="O60" i="38"/>
  <c r="O62" i="38"/>
  <c r="O64" i="38"/>
  <c r="O68" i="38"/>
  <c r="O70" i="38"/>
  <c r="O72" i="38"/>
  <c r="P116" i="21"/>
  <c r="P107" i="21"/>
  <c r="P131" i="31"/>
  <c r="O72" i="3"/>
  <c r="O66" i="3"/>
  <c r="O64" i="3"/>
  <c r="O56" i="3"/>
  <c r="O52" i="3"/>
  <c r="O29" i="3"/>
  <c r="O56" i="13"/>
  <c r="O52" i="13"/>
  <c r="O38" i="13"/>
  <c r="O34" i="13"/>
  <c r="O55" i="18"/>
  <c r="O51" i="18"/>
  <c r="O39" i="18"/>
  <c r="O37" i="18"/>
  <c r="O35" i="18"/>
  <c r="O28" i="18"/>
  <c r="O73" i="19"/>
  <c r="O71" i="19"/>
  <c r="O67" i="19"/>
  <c r="O37" i="19"/>
  <c r="O35" i="19"/>
  <c r="O30" i="19"/>
  <c r="O70" i="20"/>
  <c r="O46" i="20"/>
  <c r="O44" i="20"/>
  <c r="O31" i="20"/>
  <c r="O27" i="20"/>
  <c r="O58" i="34"/>
  <c r="P122" i="34"/>
  <c r="P124" i="34"/>
  <c r="P123" i="22"/>
  <c r="P131" i="22"/>
  <c r="P115" i="24"/>
  <c r="P131" i="24"/>
  <c r="P105" i="25"/>
  <c r="P121" i="25"/>
  <c r="P131" i="25"/>
  <c r="P107" i="27"/>
  <c r="P113" i="27"/>
  <c r="P105" i="29"/>
  <c r="P123" i="29"/>
  <c r="P131" i="29"/>
  <c r="O32" i="26"/>
  <c r="P102" i="35"/>
  <c r="P110" i="35"/>
  <c r="P114" i="35"/>
  <c r="P118" i="35"/>
  <c r="P122" i="35"/>
  <c r="P130" i="35"/>
  <c r="P119" i="22"/>
  <c r="P127" i="22"/>
  <c r="P111" i="24"/>
  <c r="P119" i="24"/>
  <c r="P117" i="25"/>
  <c r="P123" i="25"/>
  <c r="P129" i="25"/>
  <c r="P119" i="27"/>
  <c r="P127" i="27"/>
  <c r="P109" i="29"/>
  <c r="P115" i="29"/>
  <c r="P119" i="29"/>
  <c r="P125" i="29"/>
  <c r="P129" i="29"/>
  <c r="O32" i="19"/>
  <c r="O32" i="24"/>
  <c r="P129" i="4"/>
  <c r="P125" i="18"/>
  <c r="O42" i="19"/>
  <c r="P111" i="22"/>
  <c r="P117" i="22"/>
  <c r="P109" i="25"/>
  <c r="P113" i="25"/>
  <c r="P119" i="25"/>
  <c r="P127" i="25"/>
  <c r="P109" i="27"/>
  <c r="P115" i="27"/>
  <c r="P123" i="27"/>
  <c r="P131" i="27"/>
  <c r="P109" i="28"/>
  <c r="O33" i="31"/>
  <c r="O42" i="31"/>
  <c r="O43" i="3"/>
  <c r="O41" i="3"/>
  <c r="O39" i="3"/>
  <c r="O35" i="3"/>
  <c r="O33" i="3"/>
  <c r="O32" i="3"/>
  <c r="O32" i="20"/>
  <c r="O37" i="38"/>
  <c r="P120" i="38"/>
  <c r="O45" i="3"/>
  <c r="O24" i="23"/>
  <c r="O28" i="23"/>
  <c r="O38" i="23"/>
  <c r="O58" i="23"/>
  <c r="O64" i="23"/>
  <c r="O24" i="24"/>
  <c r="O26" i="24"/>
  <c r="O54" i="24"/>
  <c r="O56" i="24"/>
  <c r="O58" i="24"/>
  <c r="O60" i="24"/>
  <c r="O66" i="24"/>
  <c r="O70" i="24"/>
  <c r="O40" i="25"/>
  <c r="O50" i="25"/>
  <c r="O52" i="25"/>
  <c r="O54" i="25"/>
  <c r="O31" i="26"/>
  <c r="O37" i="26"/>
  <c r="O39" i="26"/>
  <c r="O45" i="26"/>
  <c r="O51" i="26"/>
  <c r="O61" i="26"/>
  <c r="O62" i="27"/>
  <c r="O70" i="27"/>
  <c r="P146" i="3"/>
  <c r="P144" i="19"/>
  <c r="P134" i="19"/>
  <c r="P132" i="19"/>
  <c r="P124" i="19"/>
  <c r="P112" i="19"/>
  <c r="P148" i="21"/>
  <c r="P144" i="21"/>
  <c r="P140" i="21"/>
  <c r="P138" i="21"/>
  <c r="P136" i="21"/>
  <c r="P124" i="21"/>
  <c r="P120" i="21"/>
  <c r="P108" i="21"/>
  <c r="O28" i="29"/>
  <c r="O34" i="29"/>
  <c r="O40" i="29"/>
  <c r="O42" i="29"/>
  <c r="O44" i="29"/>
  <c r="O46" i="29"/>
  <c r="O48" i="29"/>
  <c r="O50" i="29"/>
  <c r="O56" i="29"/>
  <c r="O60" i="29"/>
  <c r="O62" i="29"/>
  <c r="O64" i="29"/>
  <c r="O66" i="29"/>
  <c r="O68" i="29"/>
  <c r="O72" i="29"/>
  <c r="O39" i="31"/>
  <c r="O62" i="35"/>
  <c r="O66" i="35"/>
  <c r="O68" i="35"/>
  <c r="O19" i="38"/>
  <c r="O41" i="38"/>
  <c r="O37" i="29"/>
  <c r="O41" i="29"/>
  <c r="O49" i="29"/>
  <c r="O51" i="29"/>
  <c r="O53" i="29"/>
  <c r="O55" i="29"/>
  <c r="O59" i="29"/>
  <c r="O65" i="29"/>
  <c r="O67" i="29"/>
  <c r="O73" i="29"/>
  <c r="O27" i="38"/>
  <c r="O29" i="38"/>
  <c r="O33" i="38"/>
  <c r="P116" i="31"/>
  <c r="P139" i="20"/>
  <c r="P133" i="20"/>
  <c r="P113" i="34"/>
  <c r="P117" i="34"/>
  <c r="P119" i="34"/>
  <c r="P121" i="34"/>
  <c r="P151" i="3"/>
  <c r="P123" i="13"/>
  <c r="P153" i="19"/>
  <c r="P109" i="19"/>
  <c r="P152" i="4"/>
  <c r="P144" i="4"/>
  <c r="P140" i="4"/>
  <c r="P132" i="4"/>
  <c r="P130" i="4"/>
  <c r="P124" i="4"/>
  <c r="P120" i="4"/>
  <c r="P154" i="18"/>
  <c r="P152" i="18"/>
  <c r="P150" i="18"/>
  <c r="P148" i="18"/>
  <c r="P144" i="18"/>
  <c r="P142" i="18"/>
  <c r="P140" i="18"/>
  <c r="P138" i="18"/>
  <c r="P136" i="18"/>
  <c r="P134" i="18"/>
  <c r="P122" i="18"/>
  <c r="P155" i="20"/>
  <c r="P153" i="20"/>
  <c r="P141" i="20"/>
  <c r="P125" i="20"/>
  <c r="P104" i="31"/>
  <c r="P109" i="18"/>
  <c r="P124" i="20"/>
  <c r="P120" i="20"/>
  <c r="P116" i="20"/>
  <c r="P112" i="20"/>
  <c r="P108" i="20"/>
  <c r="P107" i="23"/>
  <c r="P115" i="23"/>
  <c r="P121" i="23"/>
  <c r="P125" i="23"/>
  <c r="P127" i="23"/>
  <c r="P108" i="24"/>
  <c r="P112" i="25"/>
  <c r="P124" i="25"/>
  <c r="P126" i="25"/>
  <c r="P128" i="25"/>
  <c r="P110" i="26"/>
  <c r="P114" i="26"/>
  <c r="P122" i="26"/>
  <c r="P130" i="26"/>
  <c r="P106" i="28"/>
  <c r="P112" i="28"/>
  <c r="P118" i="28"/>
  <c r="P122" i="28"/>
  <c r="P126" i="28"/>
  <c r="P128" i="28"/>
  <c r="P123" i="31"/>
  <c r="P127" i="31"/>
  <c r="P133" i="31"/>
  <c r="P135" i="31"/>
  <c r="P139" i="31"/>
  <c r="P129" i="13"/>
  <c r="P125" i="13"/>
  <c r="P121" i="13"/>
  <c r="P117" i="13"/>
  <c r="P113" i="13"/>
  <c r="P109" i="13"/>
  <c r="P103" i="13"/>
  <c r="P153" i="21"/>
  <c r="P145" i="21"/>
  <c r="P120" i="31"/>
  <c r="P127" i="37"/>
  <c r="P115" i="3"/>
  <c r="P111" i="3"/>
  <c r="P122" i="31"/>
  <c r="P120" i="13"/>
  <c r="P129" i="34"/>
  <c r="P135" i="20"/>
  <c r="P131" i="20"/>
  <c r="P127" i="20"/>
  <c r="P123" i="20"/>
  <c r="P119" i="20"/>
  <c r="P129" i="28"/>
  <c r="P127" i="3"/>
  <c r="P118" i="22"/>
  <c r="P126" i="22"/>
  <c r="P105" i="23"/>
  <c r="P113" i="23"/>
  <c r="P117" i="23"/>
  <c r="P123" i="23"/>
  <c r="P110" i="31"/>
  <c r="P121" i="4"/>
  <c r="P117" i="4"/>
  <c r="C100" i="13"/>
  <c r="D100" i="13" s="1"/>
  <c r="B100" i="13" s="1"/>
  <c r="O70" i="13"/>
  <c r="O68" i="13"/>
  <c r="O66" i="13"/>
  <c r="O64" i="13"/>
  <c r="O62" i="13"/>
  <c r="O60" i="13"/>
  <c r="O50" i="13"/>
  <c r="O32" i="13"/>
  <c r="O28" i="19"/>
  <c r="O23" i="23"/>
  <c r="O29" i="23"/>
  <c r="O39" i="23"/>
  <c r="O41" i="23"/>
  <c r="O49" i="23"/>
  <c r="O53" i="23"/>
  <c r="O59" i="23"/>
  <c r="O61" i="23"/>
  <c r="O49" i="24"/>
  <c r="O67" i="27"/>
  <c r="O69" i="27"/>
  <c r="O35" i="34"/>
  <c r="O45" i="35"/>
  <c r="O65" i="23"/>
  <c r="O69" i="23"/>
  <c r="O27" i="24"/>
  <c r="O31" i="24"/>
  <c r="O39" i="24"/>
  <c r="O45" i="24"/>
  <c r="O59" i="25"/>
  <c r="O71" i="25"/>
  <c r="O26" i="26"/>
  <c r="O30" i="26"/>
  <c r="O44" i="26"/>
  <c r="O58" i="26"/>
  <c r="O65" i="27"/>
  <c r="O72" i="4"/>
  <c r="O68" i="4"/>
  <c r="O60" i="4"/>
  <c r="O52" i="4"/>
  <c r="O48" i="4"/>
  <c r="O46" i="4"/>
  <c r="O40" i="4"/>
  <c r="O29" i="4"/>
  <c r="O69" i="13"/>
  <c r="O63" i="13"/>
  <c r="O57" i="13"/>
  <c r="O55" i="13"/>
  <c r="O53" i="13"/>
  <c r="O51" i="13"/>
  <c r="O49" i="13"/>
  <c r="O45" i="13"/>
  <c r="O43" i="13"/>
  <c r="O41" i="13"/>
  <c r="O27" i="13"/>
  <c r="O25" i="13"/>
  <c r="O72" i="18"/>
  <c r="O70" i="18"/>
  <c r="O68" i="18"/>
  <c r="O64" i="18"/>
  <c r="O58" i="18"/>
  <c r="O56" i="18"/>
  <c r="O54" i="18"/>
  <c r="O52" i="18"/>
  <c r="O50" i="18"/>
  <c r="O48" i="18"/>
  <c r="O46" i="18"/>
  <c r="O44" i="18"/>
  <c r="O42" i="18"/>
  <c r="O34" i="18"/>
  <c r="O27" i="18"/>
  <c r="O21" i="38"/>
  <c r="O63" i="23"/>
  <c r="O67" i="23"/>
  <c r="O35" i="24"/>
  <c r="O37" i="24"/>
  <c r="O41" i="24"/>
  <c r="O43" i="24"/>
  <c r="O55" i="24"/>
  <c r="O61" i="24"/>
  <c r="O65" i="24"/>
  <c r="O25" i="25"/>
  <c r="O24" i="26"/>
  <c r="O34" i="26"/>
  <c r="O38" i="26"/>
  <c r="O48" i="26"/>
  <c r="O62" i="26"/>
  <c r="O43" i="27"/>
  <c r="O73" i="27"/>
  <c r="O69" i="4"/>
  <c r="O67" i="4"/>
  <c r="O65" i="4"/>
  <c r="O61" i="4"/>
  <c r="O59" i="4"/>
  <c r="O57" i="4"/>
  <c r="O49" i="4"/>
  <c r="O47" i="4"/>
  <c r="O45" i="4"/>
  <c r="O43" i="4"/>
  <c r="O35" i="4"/>
  <c r="O33" i="4"/>
  <c r="O28" i="4"/>
  <c r="O73" i="18"/>
  <c r="O61" i="18"/>
  <c r="O45" i="18"/>
  <c r="O72" i="20"/>
  <c r="O58" i="20"/>
  <c r="O56" i="20"/>
  <c r="O52" i="20"/>
  <c r="O73" i="21"/>
  <c r="O69" i="21"/>
  <c r="O65" i="21"/>
  <c r="O55" i="21"/>
  <c r="O49" i="21"/>
  <c r="O47" i="21"/>
  <c r="O45" i="21"/>
  <c r="O41" i="21"/>
  <c r="O39" i="21"/>
  <c r="O35" i="21"/>
  <c r="O37" i="22"/>
  <c r="O45" i="22"/>
  <c r="O30" i="28"/>
  <c r="O34" i="28"/>
  <c r="O36" i="28"/>
  <c r="O64" i="28"/>
  <c r="O66" i="28"/>
  <c r="O22" i="29"/>
  <c r="O24" i="29"/>
  <c r="O26" i="29"/>
  <c r="O30" i="29"/>
  <c r="O40" i="34"/>
  <c r="O44" i="34"/>
  <c r="O46" i="34"/>
  <c r="O50" i="34"/>
  <c r="O52" i="34"/>
  <c r="O54" i="34"/>
  <c r="O60" i="34"/>
  <c r="O62" i="34"/>
  <c r="O68" i="34"/>
  <c r="O30" i="31"/>
  <c r="O57" i="34"/>
  <c r="O21" i="35"/>
  <c r="O31" i="35"/>
  <c r="O49" i="35"/>
  <c r="O32" i="38"/>
  <c r="O71" i="20"/>
  <c r="O67" i="20"/>
  <c r="O65" i="20"/>
  <c r="O57" i="20"/>
  <c r="O53" i="20"/>
  <c r="E18" i="20"/>
  <c r="F18" i="20" s="1"/>
  <c r="B19" i="20" s="1"/>
  <c r="O34" i="22"/>
  <c r="O25" i="28"/>
  <c r="O59" i="28"/>
  <c r="O63" i="28"/>
  <c r="O69" i="28"/>
  <c r="O71" i="28"/>
  <c r="O73" i="28"/>
  <c r="O25" i="29"/>
  <c r="O27" i="29"/>
  <c r="O29" i="29"/>
  <c r="O31" i="29"/>
  <c r="O21" i="34"/>
  <c r="O41" i="34"/>
  <c r="O71" i="34"/>
  <c r="O27" i="35"/>
  <c r="O37" i="35"/>
  <c r="O71" i="35"/>
  <c r="O66" i="38"/>
  <c r="O71" i="3"/>
  <c r="O69" i="3"/>
  <c r="O67" i="3"/>
  <c r="O63" i="3"/>
  <c r="O61" i="3"/>
  <c r="O59" i="3"/>
  <c r="O47" i="3"/>
  <c r="O30" i="3"/>
  <c r="O72" i="19"/>
  <c r="O26" i="31"/>
  <c r="O36" i="31"/>
  <c r="O49" i="31"/>
  <c r="O61" i="31"/>
  <c r="O59" i="35"/>
  <c r="O24" i="38"/>
  <c r="O36" i="38"/>
  <c r="O26" i="18"/>
  <c r="O27" i="19"/>
  <c r="O44" i="24"/>
  <c r="O73" i="26"/>
  <c r="O28" i="27"/>
  <c r="O30" i="27"/>
  <c r="O34" i="27"/>
  <c r="O36" i="27"/>
  <c r="O40" i="27"/>
  <c r="O42" i="27"/>
  <c r="O52" i="27"/>
  <c r="O60" i="27"/>
  <c r="O66" i="27"/>
  <c r="O68" i="27"/>
  <c r="O69" i="29"/>
  <c r="O19" i="37"/>
  <c r="O23" i="37"/>
  <c r="O25" i="37"/>
  <c r="O29" i="37"/>
  <c r="O31" i="37"/>
  <c r="O33" i="37"/>
  <c r="O43" i="37"/>
  <c r="O35" i="29"/>
  <c r="O28" i="31"/>
  <c r="O34" i="31"/>
  <c r="O40" i="31"/>
  <c r="O47" i="31"/>
  <c r="O22" i="38"/>
  <c r="O34" i="38"/>
  <c r="O38" i="38"/>
  <c r="O42" i="38"/>
  <c r="O61" i="21"/>
  <c r="O59" i="21"/>
  <c r="O51" i="21"/>
  <c r="O30" i="21"/>
  <c r="O24" i="21"/>
  <c r="O24" i="22"/>
  <c r="O26" i="22"/>
  <c r="O28" i="22"/>
  <c r="O63" i="22"/>
  <c r="O73" i="22"/>
  <c r="O47" i="24"/>
  <c r="O51" i="24"/>
  <c r="O73" i="24"/>
  <c r="O63" i="25"/>
  <c r="O36" i="26"/>
  <c r="O68" i="26"/>
  <c r="O70" i="26"/>
  <c r="O26" i="28"/>
  <c r="O42" i="28"/>
  <c r="O44" i="28"/>
  <c r="O50" i="28"/>
  <c r="O56" i="31"/>
  <c r="O62" i="31"/>
  <c r="O70" i="31"/>
  <c r="O33" i="18"/>
  <c r="O31" i="18"/>
  <c r="O32" i="23"/>
  <c r="O32" i="29"/>
  <c r="O18" i="37"/>
  <c r="O22" i="37"/>
  <c r="O24" i="37"/>
  <c r="O26" i="37"/>
  <c r="O28" i="37"/>
  <c r="O63" i="24"/>
  <c r="O69" i="24"/>
  <c r="O29" i="25"/>
  <c r="O35" i="25"/>
  <c r="O39" i="25"/>
  <c r="O47" i="25"/>
  <c r="O69" i="25"/>
  <c r="O28" i="26"/>
  <c r="O40" i="26"/>
  <c r="O48" i="28"/>
  <c r="O62" i="28"/>
  <c r="O20" i="38"/>
  <c r="O58" i="4"/>
  <c r="O54" i="4"/>
  <c r="O34" i="4"/>
  <c r="O31" i="4"/>
  <c r="O46" i="21"/>
  <c r="O44" i="21"/>
  <c r="O42" i="21"/>
  <c r="O23" i="22"/>
  <c r="O48" i="31"/>
  <c r="O64" i="35"/>
  <c r="O70" i="35"/>
  <c r="O72" i="34"/>
  <c r="O59" i="24"/>
  <c r="O67" i="24"/>
  <c r="O71" i="24"/>
  <c r="O23" i="25"/>
  <c r="O27" i="25"/>
  <c r="O31" i="25"/>
  <c r="O37" i="25"/>
  <c r="O45" i="25"/>
  <c r="O49" i="25"/>
  <c r="O61" i="25"/>
  <c r="O65" i="25"/>
  <c r="O66" i="26"/>
  <c r="O46" i="28"/>
  <c r="O58" i="28"/>
  <c r="O60" i="28"/>
  <c r="O51" i="37"/>
  <c r="O53" i="37"/>
  <c r="O55" i="37"/>
  <c r="O59" i="37"/>
  <c r="O61" i="37"/>
  <c r="O65" i="37"/>
  <c r="O67" i="37"/>
  <c r="O69" i="37"/>
  <c r="O71" i="37"/>
  <c r="O18" i="38"/>
  <c r="O57" i="3"/>
  <c r="O53" i="3"/>
  <c r="O51" i="3"/>
  <c r="O28" i="3"/>
  <c r="O51" i="31"/>
  <c r="O55" i="31"/>
  <c r="O57" i="31"/>
  <c r="O50" i="37"/>
  <c r="O62" i="3"/>
  <c r="O67" i="13"/>
  <c r="O65" i="13"/>
  <c r="O23" i="13"/>
  <c r="O17" i="13"/>
  <c r="O69" i="18"/>
  <c r="O67" i="18"/>
  <c r="O43" i="18"/>
  <c r="O41" i="18"/>
  <c r="O30" i="18"/>
  <c r="O63" i="19"/>
  <c r="O50" i="20"/>
  <c r="O40" i="23"/>
  <c r="O42" i="23"/>
  <c r="O44" i="23"/>
  <c r="O60" i="23"/>
  <c r="O62" i="23"/>
  <c r="O68" i="23"/>
  <c r="O72" i="23"/>
  <c r="O30" i="24"/>
  <c r="O34" i="24"/>
  <c r="O36" i="24"/>
  <c r="O38" i="24"/>
  <c r="O40" i="24"/>
  <c r="O42" i="24"/>
  <c r="O50" i="24"/>
  <c r="O37" i="27"/>
  <c r="O39" i="27"/>
  <c r="O41" i="27"/>
  <c r="O47" i="27"/>
  <c r="O49" i="27"/>
  <c r="O53" i="27"/>
  <c r="O55" i="27"/>
  <c r="O71" i="27"/>
  <c r="O23" i="31"/>
  <c r="O25" i="31"/>
  <c r="O27" i="31"/>
  <c r="O37" i="31"/>
  <c r="O44" i="31"/>
  <c r="O46" i="31"/>
  <c r="O50" i="31"/>
  <c r="O63" i="31"/>
  <c r="O69" i="31"/>
  <c r="O71" i="31"/>
  <c r="O73" i="31"/>
  <c r="O41" i="31"/>
  <c r="O43" i="31"/>
  <c r="O40" i="3"/>
  <c r="O38" i="3"/>
  <c r="O32" i="18"/>
  <c r="O33" i="19"/>
  <c r="O45" i="34"/>
  <c r="O47" i="34"/>
  <c r="O55" i="34"/>
  <c r="O59" i="34"/>
  <c r="O61" i="34"/>
  <c r="O63" i="34"/>
  <c r="O51" i="35"/>
  <c r="O53" i="35"/>
  <c r="O55" i="35"/>
  <c r="O57" i="35"/>
  <c r="O63" i="35"/>
  <c r="O34" i="37"/>
  <c r="O40" i="37"/>
  <c r="O44" i="37"/>
  <c r="O48" i="37"/>
  <c r="O62" i="4"/>
  <c r="O40" i="13"/>
  <c r="O36" i="13"/>
  <c r="O22" i="13"/>
  <c r="O20" i="13"/>
  <c r="O58" i="19"/>
  <c r="O36" i="19"/>
  <c r="O34" i="19"/>
  <c r="O47" i="20"/>
  <c r="O45" i="20"/>
  <c r="O43" i="20"/>
  <c r="O38" i="20"/>
  <c r="O36" i="20"/>
  <c r="O46" i="27"/>
  <c r="O54" i="27"/>
  <c r="O58" i="27"/>
  <c r="O58" i="31"/>
  <c r="O50" i="35"/>
  <c r="D94" i="29"/>
  <c r="C100" i="29" s="1"/>
  <c r="C101" i="29" s="1"/>
  <c r="C102" i="29" s="1"/>
  <c r="C103" i="29" s="1"/>
  <c r="C104" i="29" s="1"/>
  <c r="C105" i="29" s="1"/>
  <c r="C106" i="29" s="1"/>
  <c r="C107" i="29" s="1"/>
  <c r="C108" i="29" s="1"/>
  <c r="C109" i="29" s="1"/>
  <c r="C110" i="29" s="1"/>
  <c r="C111" i="29" s="1"/>
  <c r="C112" i="29" s="1"/>
  <c r="C113" i="29" s="1"/>
  <c r="C114" i="29" s="1"/>
  <c r="C115" i="29" s="1"/>
  <c r="C116" i="29" s="1"/>
  <c r="C117" i="29" s="1"/>
  <c r="C118" i="29" s="1"/>
  <c r="C119" i="29" s="1"/>
  <c r="C120" i="29" s="1"/>
  <c r="C121" i="29" s="1"/>
  <c r="C122" i="29" s="1"/>
  <c r="C123" i="29" s="1"/>
  <c r="C124" i="29" s="1"/>
  <c r="C125" i="29" s="1"/>
  <c r="C126" i="29" s="1"/>
  <c r="C127" i="29" s="1"/>
  <c r="O60" i="3"/>
  <c r="O59" i="31"/>
  <c r="F17" i="1"/>
  <c r="O55" i="26"/>
  <c r="O37" i="28"/>
  <c r="P154" i="3"/>
  <c r="P138" i="3"/>
  <c r="P136" i="3"/>
  <c r="P132" i="3"/>
  <c r="P130" i="3"/>
  <c r="O50" i="3"/>
  <c r="O70" i="4"/>
  <c r="O41" i="4"/>
  <c r="O37" i="4"/>
  <c r="O18" i="13"/>
  <c r="O71" i="18"/>
  <c r="O54" i="19"/>
  <c r="O52" i="19"/>
  <c r="O68" i="20"/>
  <c r="O66" i="20"/>
  <c r="O60" i="20"/>
  <c r="O54" i="20"/>
  <c r="O49" i="20"/>
  <c r="O68" i="22"/>
  <c r="O70" i="22"/>
  <c r="O72" i="22"/>
  <c r="O71" i="23"/>
  <c r="O73" i="23"/>
  <c r="O25" i="24"/>
  <c r="O22" i="25"/>
  <c r="O34" i="25"/>
  <c r="O42" i="25"/>
  <c r="O56" i="25"/>
  <c r="O58" i="25"/>
  <c r="O27" i="26"/>
  <c r="O29" i="26"/>
  <c r="O25" i="27"/>
  <c r="O27" i="27"/>
  <c r="O31" i="27"/>
  <c r="O35" i="27"/>
  <c r="O50" i="27"/>
  <c r="O35" i="28"/>
  <c r="O70" i="28"/>
  <c r="O72" i="28"/>
  <c r="O45" i="29"/>
  <c r="O47" i="29"/>
  <c r="O57" i="29"/>
  <c r="O61" i="29"/>
  <c r="O63" i="29"/>
  <c r="O22" i="31"/>
  <c r="O31" i="31"/>
  <c r="O38" i="31"/>
  <c r="O53" i="31"/>
  <c r="O32" i="21"/>
  <c r="O33" i="34"/>
  <c r="O66" i="34"/>
  <c r="O70" i="34"/>
  <c r="O22" i="35"/>
  <c r="O30" i="35"/>
  <c r="O73" i="34"/>
  <c r="O41" i="37"/>
  <c r="O46" i="38"/>
  <c r="O64" i="4"/>
  <c r="O61" i="13"/>
  <c r="O59" i="13"/>
  <c r="O57" i="19"/>
  <c r="O55" i="19"/>
  <c r="O53" i="19"/>
  <c r="O51" i="19"/>
  <c r="O49" i="19"/>
  <c r="O47" i="19"/>
  <c r="O45" i="19"/>
  <c r="O43" i="19"/>
  <c r="O39" i="19"/>
  <c r="O69" i="20"/>
  <c r="O42" i="20"/>
  <c r="O72" i="21"/>
  <c r="O57" i="21"/>
  <c r="O65" i="22"/>
  <c r="P109" i="23"/>
  <c r="O71" i="26"/>
  <c r="O26" i="27"/>
  <c r="O24" i="28"/>
  <c r="O28" i="28"/>
  <c r="O36" i="29"/>
  <c r="O52" i="29"/>
  <c r="O71" i="29"/>
  <c r="O32" i="27"/>
  <c r="O32" i="28"/>
  <c r="O22" i="34"/>
  <c r="O32" i="34"/>
  <c r="O34" i="34"/>
  <c r="O25" i="35"/>
  <c r="O72" i="35"/>
  <c r="P147" i="3"/>
  <c r="P123" i="3"/>
  <c r="P119" i="3"/>
  <c r="O73" i="3"/>
  <c r="O73" i="4"/>
  <c r="O71" i="4"/>
  <c r="O58" i="13"/>
  <c r="O48" i="13"/>
  <c r="O46" i="13"/>
  <c r="O44" i="13"/>
  <c r="O42" i="13"/>
  <c r="O39" i="13"/>
  <c r="O35" i="13"/>
  <c r="O33" i="13"/>
  <c r="O40" i="18"/>
  <c r="O38" i="18"/>
  <c r="O62" i="19"/>
  <c r="O60" i="19"/>
  <c r="O51" i="20"/>
  <c r="O34" i="20"/>
  <c r="O29" i="20"/>
  <c r="O25" i="20"/>
  <c r="O21" i="20"/>
  <c r="O19" i="20"/>
  <c r="O66" i="21"/>
  <c r="O56" i="21"/>
  <c r="O40" i="21"/>
  <c r="O38" i="21"/>
  <c r="O36" i="21"/>
  <c r="O34" i="21"/>
  <c r="O31" i="21"/>
  <c r="O25" i="21"/>
  <c r="O29" i="22"/>
  <c r="O31" i="22"/>
  <c r="O38" i="22"/>
  <c r="O40" i="22"/>
  <c r="O44" i="22"/>
  <c r="O46" i="22"/>
  <c r="O52" i="22"/>
  <c r="P121" i="22"/>
  <c r="P125" i="22"/>
  <c r="P129" i="22"/>
  <c r="O64" i="26"/>
  <c r="O59" i="27"/>
  <c r="O61" i="27"/>
  <c r="O54" i="28"/>
  <c r="O39" i="37"/>
  <c r="O63" i="37"/>
  <c r="I12" i="38"/>
  <c r="I13" i="38" s="1"/>
  <c r="I12" i="37"/>
  <c r="I13" i="37" s="1"/>
  <c r="I12" i="28"/>
  <c r="I13" i="28" s="1"/>
  <c r="I12" i="31"/>
  <c r="I13" i="31" s="1"/>
  <c r="I12" i="24"/>
  <c r="I12" i="3"/>
  <c r="I13" i="3" s="1"/>
  <c r="I12" i="27"/>
  <c r="I13" i="27" s="1"/>
  <c r="I12" i="22"/>
  <c r="I13" i="22" s="1"/>
  <c r="I12" i="35"/>
  <c r="I13" i="35" s="1"/>
  <c r="I12" i="25"/>
  <c r="I13" i="25" s="1"/>
  <c r="I12" i="4"/>
  <c r="I13" i="4" s="1"/>
  <c r="I12" i="23"/>
  <c r="I13" i="23" s="1"/>
  <c r="I12" i="34"/>
  <c r="I13" i="34" s="1"/>
  <c r="I12" i="29"/>
  <c r="I13" i="29" s="1"/>
  <c r="I12" i="18"/>
  <c r="I13" i="18" s="1"/>
  <c r="I12" i="19"/>
  <c r="I13" i="19" s="1"/>
  <c r="I12" i="13"/>
  <c r="N5" i="37"/>
  <c r="N6" i="37"/>
  <c r="A2" i="2"/>
  <c r="O66" i="18"/>
  <c r="O68" i="21"/>
  <c r="P153" i="3"/>
  <c r="P149" i="3"/>
  <c r="P145" i="3"/>
  <c r="P141" i="3"/>
  <c r="O68" i="3"/>
  <c r="O49" i="3"/>
  <c r="O63" i="4"/>
  <c r="O42" i="4"/>
  <c r="O30" i="4"/>
  <c r="P130" i="13"/>
  <c r="P128" i="13"/>
  <c r="P126" i="13"/>
  <c r="P122" i="13"/>
  <c r="P118" i="13"/>
  <c r="P114" i="13"/>
  <c r="P112" i="13"/>
  <c r="P110" i="13"/>
  <c r="P106" i="13"/>
  <c r="O31" i="13"/>
  <c r="O69" i="19"/>
  <c r="O65" i="19"/>
  <c r="O54" i="21"/>
  <c r="O34" i="23"/>
  <c r="O36" i="23"/>
  <c r="O35" i="26"/>
  <c r="O72" i="26"/>
  <c r="O44" i="27"/>
  <c r="O29" i="31"/>
  <c r="O55" i="4"/>
  <c r="O53" i="4"/>
  <c r="O51" i="4"/>
  <c r="O19" i="13"/>
  <c r="P149" i="19"/>
  <c r="P145" i="19"/>
  <c r="P141" i="19"/>
  <c r="O56" i="19"/>
  <c r="O48" i="19"/>
  <c r="O46" i="19"/>
  <c r="O44" i="19"/>
  <c r="O40" i="19"/>
  <c r="O38" i="19"/>
  <c r="O65" i="26"/>
  <c r="O24" i="31"/>
  <c r="O64" i="31"/>
  <c r="O68" i="31"/>
  <c r="O54" i="3"/>
  <c r="O44" i="3"/>
  <c r="O66" i="4"/>
  <c r="O26" i="13"/>
  <c r="O24" i="13"/>
  <c r="O62" i="18"/>
  <c r="O60" i="18"/>
  <c r="O36" i="18"/>
  <c r="O64" i="19"/>
  <c r="P102" i="20"/>
  <c r="O73" i="20"/>
  <c r="O64" i="20"/>
  <c r="O62" i="20"/>
  <c r="O40" i="20"/>
  <c r="P135" i="21"/>
  <c r="P123" i="21"/>
  <c r="P111" i="21"/>
  <c r="O63" i="21"/>
  <c r="O28" i="21"/>
  <c r="O26" i="21"/>
  <c r="O33" i="22"/>
  <c r="O35" i="22"/>
  <c r="O51" i="22"/>
  <c r="O25" i="23"/>
  <c r="O27" i="23"/>
  <c r="O31" i="23"/>
  <c r="O35" i="23"/>
  <c r="P137" i="3"/>
  <c r="P133" i="3"/>
  <c r="P129" i="3"/>
  <c r="P125" i="3"/>
  <c r="P121" i="3"/>
  <c r="P113" i="3"/>
  <c r="P109" i="3"/>
  <c r="O70" i="3"/>
  <c r="O65" i="3"/>
  <c r="O58" i="3"/>
  <c r="O55" i="3"/>
  <c r="O48" i="3"/>
  <c r="O46" i="3"/>
  <c r="O56" i="4"/>
  <c r="O39" i="4"/>
  <c r="O71" i="13"/>
  <c r="O54" i="13"/>
  <c r="O37" i="13"/>
  <c r="O30" i="13"/>
  <c r="O28" i="13"/>
  <c r="O21" i="13"/>
  <c r="O65" i="18"/>
  <c r="O63" i="18"/>
  <c r="O59" i="18"/>
  <c r="O57" i="18"/>
  <c r="O53" i="18"/>
  <c r="O49" i="18"/>
  <c r="O47" i="18"/>
  <c r="O29" i="18"/>
  <c r="O70" i="19"/>
  <c r="O68" i="19"/>
  <c r="O66" i="19"/>
  <c r="O61" i="19"/>
  <c r="O59" i="19"/>
  <c r="O41" i="19"/>
  <c r="O26" i="19"/>
  <c r="P149" i="20"/>
  <c r="P145" i="20"/>
  <c r="P137" i="20"/>
  <c r="P129" i="20"/>
  <c r="P101" i="20"/>
  <c r="O61" i="20"/>
  <c r="O48" i="20"/>
  <c r="O23" i="20"/>
  <c r="P130" i="21"/>
  <c r="P126" i="21"/>
  <c r="P114" i="21"/>
  <c r="O64" i="21"/>
  <c r="O62" i="21"/>
  <c r="O60" i="21"/>
  <c r="O58" i="21"/>
  <c r="O30" i="22"/>
  <c r="O36" i="22"/>
  <c r="O42" i="22"/>
  <c r="O54" i="22"/>
  <c r="O56" i="22"/>
  <c r="O58" i="22"/>
  <c r="O60" i="22"/>
  <c r="O67" i="22"/>
  <c r="O26" i="23"/>
  <c r="O37" i="23"/>
  <c r="O41" i="25"/>
  <c r="O51" i="25"/>
  <c r="O73" i="25"/>
  <c r="O52" i="26"/>
  <c r="O38" i="29"/>
  <c r="O43" i="23"/>
  <c r="O45" i="23"/>
  <c r="O47" i="23"/>
  <c r="O51" i="23"/>
  <c r="O55" i="23"/>
  <c r="O57" i="23"/>
  <c r="O70" i="23"/>
  <c r="O29" i="24"/>
  <c r="O46" i="24"/>
  <c r="O48" i="24"/>
  <c r="O52" i="24"/>
  <c r="O68" i="24"/>
  <c r="P116" i="24"/>
  <c r="P118" i="24"/>
  <c r="P122" i="24"/>
  <c r="P126" i="24"/>
  <c r="P130" i="24"/>
  <c r="O46" i="25"/>
  <c r="O48" i="25"/>
  <c r="O53" i="25"/>
  <c r="O55" i="25"/>
  <c r="O57" i="25"/>
  <c r="O62" i="25"/>
  <c r="O46" i="26"/>
  <c r="O50" i="26"/>
  <c r="O54" i="26"/>
  <c r="O57" i="26"/>
  <c r="O59" i="26"/>
  <c r="O63" i="26"/>
  <c r="P107" i="26"/>
  <c r="P121" i="26"/>
  <c r="P129" i="26"/>
  <c r="O57" i="27"/>
  <c r="O72" i="27"/>
  <c r="O43" i="28"/>
  <c r="O52" i="28"/>
  <c r="O56" i="28"/>
  <c r="O65" i="28"/>
  <c r="O67" i="28"/>
  <c r="O70" i="29"/>
  <c r="O21" i="31"/>
  <c r="O45" i="31"/>
  <c r="O66" i="31"/>
  <c r="O42" i="3"/>
  <c r="O36" i="3"/>
  <c r="O34" i="3"/>
  <c r="O31" i="3"/>
  <c r="O32" i="22"/>
  <c r="O32" i="25"/>
  <c r="O56" i="34"/>
  <c r="O35" i="37"/>
  <c r="O37" i="37"/>
  <c r="O60" i="37"/>
  <c r="O39" i="38"/>
  <c r="O43" i="25"/>
  <c r="O72" i="25"/>
  <c r="O45" i="27"/>
  <c r="O63" i="27"/>
  <c r="O49" i="28"/>
  <c r="O72" i="31"/>
  <c r="O37" i="3"/>
  <c r="O31" i="19"/>
  <c r="O33" i="23"/>
  <c r="O33" i="24"/>
  <c r="O33" i="27"/>
  <c r="O33" i="29"/>
  <c r="O43" i="34"/>
  <c r="O48" i="34"/>
  <c r="O67" i="34"/>
  <c r="O33" i="35"/>
  <c r="O41" i="35"/>
  <c r="O58" i="35"/>
  <c r="O60" i="35"/>
  <c r="P125" i="35"/>
  <c r="P129" i="35"/>
  <c r="O49" i="37"/>
  <c r="O57" i="37"/>
  <c r="O72" i="37"/>
  <c r="O17" i="38"/>
  <c r="O43" i="38"/>
  <c r="O49" i="38"/>
  <c r="O53" i="38"/>
  <c r="O61" i="38"/>
  <c r="O46" i="23"/>
  <c r="O48" i="23"/>
  <c r="O50" i="23"/>
  <c r="O56" i="23"/>
  <c r="P106" i="23"/>
  <c r="P110" i="23"/>
  <c r="O53" i="24"/>
  <c r="O57" i="24"/>
  <c r="O60" i="25"/>
  <c r="O42" i="26"/>
  <c r="O47" i="26"/>
  <c r="O49" i="26"/>
  <c r="O56" i="26"/>
  <c r="O60" i="26"/>
  <c r="O69" i="26"/>
  <c r="O29" i="27"/>
  <c r="O38" i="27"/>
  <c r="O51" i="27"/>
  <c r="O56" i="27"/>
  <c r="O64" i="27"/>
  <c r="O23" i="28"/>
  <c r="O29" i="28"/>
  <c r="O31" i="28"/>
  <c r="O55" i="28"/>
  <c r="O68" i="28"/>
  <c r="O21" i="29"/>
  <c r="O23" i="29"/>
  <c r="O39" i="29"/>
  <c r="O54" i="29"/>
  <c r="P121" i="29"/>
  <c r="O20" i="31"/>
  <c r="O67" i="31"/>
  <c r="P116" i="34"/>
  <c r="P120" i="34"/>
  <c r="O32" i="35"/>
  <c r="O38" i="37"/>
  <c r="O46" i="37"/>
  <c r="O23" i="38"/>
  <c r="O35" i="38"/>
  <c r="B100" i="38"/>
  <c r="C101" i="38"/>
  <c r="C102" i="38" s="1"/>
  <c r="C103" i="38" s="1"/>
  <c r="C104" i="38" s="1"/>
  <c r="C105" i="38" s="1"/>
  <c r="C106" i="38" s="1"/>
  <c r="C107" i="38" s="1"/>
  <c r="C108" i="38" s="1"/>
  <c r="C109" i="38" s="1"/>
  <c r="C110" i="38" s="1"/>
  <c r="C111" i="38" s="1"/>
  <c r="C112" i="38" s="1"/>
  <c r="C113" i="38" s="1"/>
  <c r="C114" i="38" s="1"/>
  <c r="C115" i="38" s="1"/>
  <c r="C116" i="38" s="1"/>
  <c r="C117" i="38" s="1"/>
  <c r="C118" i="38" s="1"/>
  <c r="C119" i="38" s="1"/>
  <c r="C120" i="38" s="1"/>
  <c r="C121" i="38" s="1"/>
  <c r="C122" i="38" s="1"/>
  <c r="C123" i="38" s="1"/>
  <c r="C124" i="38" s="1"/>
  <c r="C125" i="38" s="1"/>
  <c r="C126" i="38" s="1"/>
  <c r="C127" i="38" s="1"/>
  <c r="C128" i="38" s="1"/>
  <c r="C129" i="38" s="1"/>
  <c r="C130" i="38" s="1"/>
  <c r="C131" i="38" s="1"/>
  <c r="C132" i="38" s="1"/>
  <c r="C133" i="38" s="1"/>
  <c r="C134" i="38" s="1"/>
  <c r="C135" i="38" s="1"/>
  <c r="C136" i="38" s="1"/>
  <c r="C137" i="38" s="1"/>
  <c r="C138" i="38" s="1"/>
  <c r="C139" i="38" s="1"/>
  <c r="C140" i="38" s="1"/>
  <c r="C141" i="38" s="1"/>
  <c r="C142" i="38" s="1"/>
  <c r="C143" i="38" s="1"/>
  <c r="C144" i="38" s="1"/>
  <c r="C145" i="38" s="1"/>
  <c r="C146" i="38" s="1"/>
  <c r="C147" i="38" s="1"/>
  <c r="C148" i="38" s="1"/>
  <c r="C149" i="38" s="1"/>
  <c r="C150" i="38" s="1"/>
  <c r="C151" i="38" s="1"/>
  <c r="C152" i="38" s="1"/>
  <c r="C153" i="38" s="1"/>
  <c r="C154" i="38" s="1"/>
  <c r="C155" i="38" s="1"/>
  <c r="B19" i="35"/>
  <c r="B21" i="25"/>
  <c r="B18" i="37"/>
  <c r="B23" i="27"/>
  <c r="B19" i="31"/>
  <c r="D94" i="22"/>
  <c r="C100" i="22" s="1"/>
  <c r="D95" i="22"/>
  <c r="P100" i="3"/>
  <c r="O17" i="28"/>
  <c r="P101" i="13"/>
  <c r="P120" i="19"/>
  <c r="P108" i="19"/>
  <c r="P103" i="20"/>
  <c r="P146" i="21"/>
  <c r="P142" i="21"/>
  <c r="P104" i="13"/>
  <c r="A9" i="17"/>
  <c r="P131" i="18"/>
  <c r="P127" i="18"/>
  <c r="P119" i="18"/>
  <c r="P115" i="18"/>
  <c r="P155" i="19"/>
  <c r="P151" i="19"/>
  <c r="P147" i="19"/>
  <c r="P143" i="19"/>
  <c r="P139" i="19"/>
  <c r="P135" i="19"/>
  <c r="P131" i="19"/>
  <c r="P115" i="19"/>
  <c r="P151" i="20"/>
  <c r="P115" i="20"/>
  <c r="P114" i="18"/>
  <c r="P110" i="18"/>
  <c r="P150" i="19"/>
  <c r="P146" i="19"/>
  <c r="P142" i="19"/>
  <c r="P130" i="19"/>
  <c r="P106" i="20"/>
  <c r="P133" i="21"/>
  <c r="P125" i="21"/>
  <c r="P146" i="4"/>
  <c r="P142" i="4"/>
  <c r="P138" i="4"/>
  <c r="P134" i="4"/>
  <c r="P126" i="4"/>
  <c r="P127" i="13"/>
  <c r="P119" i="13"/>
  <c r="P115" i="13"/>
  <c r="P111" i="13"/>
  <c r="P121" i="20"/>
  <c r="P113" i="20"/>
  <c r="P105" i="20"/>
  <c r="P132" i="21"/>
  <c r="P112" i="21"/>
  <c r="P101" i="19"/>
  <c r="P104" i="20"/>
  <c r="P151" i="21"/>
  <c r="P106" i="24"/>
  <c r="O43" i="29"/>
  <c r="O58" i="29"/>
  <c r="O54" i="31"/>
  <c r="O24" i="3"/>
  <c r="P105" i="18"/>
  <c r="O45" i="37"/>
  <c r="O24" i="18"/>
  <c r="P106" i="19"/>
  <c r="O22" i="27"/>
  <c r="P123" i="24"/>
  <c r="P104" i="19"/>
  <c r="P106" i="25"/>
  <c r="P110" i="25"/>
  <c r="P114" i="25"/>
  <c r="P122" i="25"/>
  <c r="P116" i="27"/>
  <c r="P124" i="27"/>
  <c r="P128" i="27"/>
  <c r="P103" i="19"/>
  <c r="O65" i="31"/>
  <c r="O31" i="34"/>
  <c r="O69" i="34"/>
  <c r="P106" i="3"/>
  <c r="O56" i="37"/>
  <c r="P104" i="27"/>
  <c r="O73" i="38"/>
  <c r="O21" i="28"/>
  <c r="O30" i="37"/>
  <c r="O47" i="37"/>
  <c r="P103" i="22"/>
  <c r="O22" i="24"/>
  <c r="O19" i="29"/>
  <c r="O31" i="38"/>
  <c r="P113" i="24"/>
  <c r="P121" i="24"/>
  <c r="P112" i="26"/>
  <c r="P120" i="26"/>
  <c r="P124" i="26"/>
  <c r="P121" i="27"/>
  <c r="P125" i="27"/>
  <c r="P129" i="27"/>
  <c r="O32" i="31"/>
  <c r="O17" i="34"/>
  <c r="P104" i="25"/>
  <c r="P116" i="25"/>
  <c r="P120" i="25"/>
  <c r="O21" i="21"/>
  <c r="O58" i="37"/>
  <c r="P107" i="3"/>
  <c r="O21" i="23"/>
  <c r="P104" i="24"/>
  <c r="P125" i="34"/>
  <c r="P102" i="38"/>
  <c r="P106" i="38"/>
  <c r="P114" i="38"/>
  <c r="P130" i="38"/>
  <c r="P113" i="28"/>
  <c r="P117" i="28"/>
  <c r="P125" i="28"/>
  <c r="P110" i="29"/>
  <c r="P114" i="29"/>
  <c r="P130" i="29"/>
  <c r="P125" i="31"/>
  <c r="P129" i="31"/>
  <c r="P137" i="31"/>
  <c r="P145" i="31"/>
  <c r="P102" i="34"/>
  <c r="P106" i="34"/>
  <c r="P110" i="34"/>
  <c r="P114" i="34"/>
  <c r="P126" i="34"/>
  <c r="P130" i="34"/>
  <c r="P103" i="37"/>
  <c r="P107" i="37"/>
  <c r="P111" i="37"/>
  <c r="P103" i="38"/>
  <c r="P119" i="38"/>
  <c r="P123" i="38"/>
  <c r="P127" i="38"/>
  <c r="P131" i="38"/>
  <c r="F88" i="2"/>
  <c r="F89" i="2" s="1"/>
  <c r="F91" i="2" s="1"/>
  <c r="F92" i="2" s="1"/>
  <c r="F93" i="2" s="1"/>
  <c r="D96" i="39" s="1"/>
  <c r="P110" i="28"/>
  <c r="P130" i="31"/>
  <c r="P134" i="31"/>
  <c r="P146" i="31"/>
  <c r="P128" i="37"/>
  <c r="P101" i="38"/>
  <c r="P147" i="31"/>
  <c r="P155" i="3"/>
  <c r="P143" i="3"/>
  <c r="P139" i="3"/>
  <c r="P135" i="3"/>
  <c r="P131" i="3"/>
  <c r="P154" i="20"/>
  <c r="P142" i="20"/>
  <c r="P138" i="20"/>
  <c r="P134" i="20"/>
  <c r="P130" i="20"/>
  <c r="P126" i="20"/>
  <c r="P122" i="20"/>
  <c r="P118" i="20"/>
  <c r="P114" i="20"/>
  <c r="P110" i="20"/>
  <c r="P122" i="21"/>
  <c r="P118" i="21"/>
  <c r="P106" i="21"/>
  <c r="P112" i="22"/>
  <c r="P116" i="23"/>
  <c r="P120" i="23"/>
  <c r="P124" i="23"/>
  <c r="P128" i="23"/>
  <c r="P111" i="25"/>
  <c r="P115" i="25"/>
  <c r="P111" i="26"/>
  <c r="P115" i="26"/>
  <c r="P119" i="26"/>
  <c r="P127" i="26"/>
  <c r="P131" i="26"/>
  <c r="P109" i="31"/>
  <c r="P113" i="31"/>
  <c r="P117" i="31"/>
  <c r="P121" i="31"/>
  <c r="P153" i="31"/>
  <c r="P103" i="34"/>
  <c r="P107" i="34"/>
  <c r="P123" i="34"/>
  <c r="P104" i="35"/>
  <c r="P108" i="35"/>
  <c r="P112" i="35"/>
  <c r="P116" i="35"/>
  <c r="P120" i="35"/>
  <c r="P123" i="37"/>
  <c r="P131" i="37"/>
  <c r="P116" i="38"/>
  <c r="P130" i="18"/>
  <c r="P122" i="19"/>
  <c r="P114" i="19"/>
  <c r="P149" i="21"/>
  <c r="P129" i="23"/>
  <c r="P117" i="24"/>
  <c r="P125" i="24"/>
  <c r="P129" i="24"/>
  <c r="P126" i="31"/>
  <c r="P150" i="31"/>
  <c r="P154" i="31"/>
  <c r="P109" i="35"/>
  <c r="P113" i="35"/>
  <c r="P117" i="35"/>
  <c r="P150" i="3"/>
  <c r="P117" i="20"/>
  <c r="P152" i="21"/>
  <c r="P110" i="22"/>
  <c r="P108" i="25"/>
  <c r="P117" i="26"/>
  <c r="P106" i="27"/>
  <c r="P110" i="27"/>
  <c r="P114" i="27"/>
  <c r="P118" i="27"/>
  <c r="P122" i="27"/>
  <c r="P126" i="27"/>
  <c r="P130" i="27"/>
  <c r="P107" i="28"/>
  <c r="P123" i="28"/>
  <c r="P127" i="28"/>
  <c r="P108" i="29"/>
  <c r="P112" i="29"/>
  <c r="P116" i="29"/>
  <c r="P120" i="29"/>
  <c r="P124" i="29"/>
  <c r="P128" i="29"/>
  <c r="P103" i="31"/>
  <c r="P119" i="31"/>
  <c r="P117" i="37"/>
  <c r="P129" i="38"/>
  <c r="P141" i="18"/>
  <c r="P118" i="38"/>
  <c r="P122" i="38"/>
  <c r="P105" i="13"/>
  <c r="P132" i="18"/>
  <c r="P139" i="21"/>
  <c r="P128" i="21"/>
  <c r="P125" i="25"/>
  <c r="P116" i="28"/>
  <c r="P120" i="28"/>
  <c r="P128" i="3"/>
  <c r="P124" i="3"/>
  <c r="P120" i="3"/>
  <c r="P116" i="3"/>
  <c r="P155" i="4"/>
  <c r="P151" i="4"/>
  <c r="P147" i="4"/>
  <c r="P143" i="4"/>
  <c r="P139" i="4"/>
  <c r="P135" i="4"/>
  <c r="P131" i="4"/>
  <c r="P127" i="4"/>
  <c r="P123" i="4"/>
  <c r="P119" i="4"/>
  <c r="P115" i="4"/>
  <c r="P111" i="4"/>
  <c r="P147" i="20"/>
  <c r="P143" i="20"/>
  <c r="P127" i="21"/>
  <c r="P115" i="21"/>
  <c r="P106" i="26"/>
  <c r="P118" i="26"/>
  <c r="P126" i="29"/>
  <c r="P119" i="37"/>
  <c r="P116" i="4"/>
  <c r="P152" i="19"/>
  <c r="P148" i="19"/>
  <c r="P140" i="19"/>
  <c r="P136" i="19"/>
  <c r="P128" i="19"/>
  <c r="P116" i="19"/>
  <c r="P144" i="20"/>
  <c r="P106" i="22"/>
  <c r="P114" i="23"/>
  <c r="P122" i="23"/>
  <c r="P126" i="23"/>
  <c r="P130" i="23"/>
  <c r="P110" i="24"/>
  <c r="P109" i="26"/>
  <c r="P113" i="26"/>
  <c r="P125" i="26"/>
  <c r="P131" i="28"/>
  <c r="P107" i="31"/>
  <c r="P111" i="31"/>
  <c r="P116" i="37"/>
  <c r="P120" i="37"/>
  <c r="P108" i="38"/>
  <c r="P112" i="38"/>
  <c r="P124" i="38"/>
  <c r="P128" i="18"/>
  <c r="P124" i="18"/>
  <c r="P120" i="18"/>
  <c r="P116" i="18"/>
  <c r="P112" i="18"/>
  <c r="P108" i="18"/>
  <c r="P127" i="24"/>
  <c r="P143" i="31"/>
  <c r="P121" i="35"/>
  <c r="P124" i="13"/>
  <c r="P116" i="13"/>
  <c r="P108" i="13"/>
  <c r="P118" i="25"/>
  <c r="P112" i="27"/>
  <c r="P125" i="38"/>
  <c r="P150" i="4"/>
  <c r="P122" i="4"/>
  <c r="P131" i="13"/>
  <c r="P111" i="20"/>
  <c r="P107" i="20"/>
  <c r="P150" i="21"/>
  <c r="P119" i="21"/>
  <c r="P120" i="24"/>
  <c r="P124" i="24"/>
  <c r="P128" i="24"/>
  <c r="P120" i="27"/>
  <c r="P118" i="29"/>
  <c r="P122" i="29"/>
  <c r="P132" i="31"/>
  <c r="P136" i="31"/>
  <c r="P140" i="31"/>
  <c r="P109" i="34"/>
  <c r="P110" i="4"/>
  <c r="P126" i="19"/>
  <c r="P107" i="13"/>
  <c r="P134" i="21"/>
  <c r="P110" i="21"/>
  <c r="P114" i="28"/>
  <c r="P107" i="29"/>
  <c r="P148" i="31"/>
  <c r="P152" i="31"/>
  <c r="P142" i="3"/>
  <c r="P118" i="3"/>
  <c r="P149" i="4"/>
  <c r="P113" i="4"/>
  <c r="P102" i="13"/>
  <c r="P153" i="18"/>
  <c r="P149" i="18"/>
  <c r="P129" i="18"/>
  <c r="P121" i="18"/>
  <c r="P117" i="18"/>
  <c r="P137" i="19"/>
  <c r="P133" i="19"/>
  <c r="P129" i="19"/>
  <c r="P125" i="19"/>
  <c r="P113" i="19"/>
  <c r="P129" i="21"/>
  <c r="P117" i="21"/>
  <c r="P116" i="26"/>
  <c r="P119" i="28"/>
  <c r="P128" i="4"/>
  <c r="P121" i="19"/>
  <c r="P110" i="19"/>
  <c r="P154" i="21"/>
  <c r="P147" i="21"/>
  <c r="P143" i="21"/>
  <c r="P131" i="21"/>
  <c r="P113" i="21"/>
  <c r="P109" i="22"/>
  <c r="P112" i="24"/>
  <c r="P123" i="26"/>
  <c r="P108" i="28"/>
  <c r="P130" i="28"/>
  <c r="P104" i="29"/>
  <c r="P102" i="31"/>
  <c r="P104" i="34"/>
  <c r="P108" i="34"/>
  <c r="P128" i="34"/>
  <c r="P106" i="35"/>
  <c r="P113" i="37"/>
  <c r="P124" i="37"/>
  <c r="P114" i="31"/>
  <c r="P118" i="31"/>
  <c r="P151" i="31"/>
  <c r="P155" i="31"/>
  <c r="P126" i="35"/>
  <c r="P152" i="3"/>
  <c r="P148" i="3"/>
  <c r="P144" i="3"/>
  <c r="P140" i="3"/>
  <c r="P118" i="18"/>
  <c r="P114" i="22"/>
  <c r="P115" i="31"/>
  <c r="P144" i="31"/>
  <c r="P117" i="38"/>
  <c r="P140" i="20"/>
  <c r="P136" i="20"/>
  <c r="P132" i="20"/>
  <c r="P128" i="20"/>
  <c r="P109" i="20"/>
  <c r="P113" i="29"/>
  <c r="P117" i="29"/>
  <c r="P118" i="37"/>
  <c r="P154" i="19"/>
  <c r="P123" i="19"/>
  <c r="P119" i="19"/>
  <c r="P141" i="21"/>
  <c r="P128" i="26"/>
  <c r="P138" i="31"/>
  <c r="P141" i="31"/>
  <c r="P149" i="31"/>
  <c r="P118" i="34"/>
  <c r="P115" i="38"/>
  <c r="P126" i="38"/>
  <c r="P119" i="23"/>
  <c r="P115" i="37"/>
  <c r="P126" i="3"/>
  <c r="P122" i="3"/>
  <c r="P114" i="3"/>
  <c r="P153" i="4"/>
  <c r="P145" i="4"/>
  <c r="P141" i="4"/>
  <c r="P137" i="4"/>
  <c r="P133" i="4"/>
  <c r="P125" i="4"/>
  <c r="P109" i="4"/>
  <c r="P151" i="18"/>
  <c r="P147" i="18"/>
  <c r="P143" i="18"/>
  <c r="P139" i="18"/>
  <c r="P135" i="18"/>
  <c r="P138" i="19"/>
  <c r="P118" i="19"/>
  <c r="P121" i="21"/>
  <c r="P128" i="22"/>
  <c r="P112" i="23"/>
  <c r="P105" i="26"/>
  <c r="P126" i="26"/>
  <c r="P111" i="28"/>
  <c r="P115" i="28"/>
  <c r="P111" i="34"/>
  <c r="P115" i="34"/>
  <c r="P127" i="34"/>
  <c r="P131" i="34"/>
  <c r="P124" i="35"/>
  <c r="P128" i="35"/>
  <c r="P117" i="19"/>
  <c r="P116" i="22"/>
  <c r="P120" i="22"/>
  <c r="P124" i="22"/>
  <c r="P117" i="27"/>
  <c r="P124" i="28"/>
  <c r="P108" i="37"/>
  <c r="P112" i="37"/>
  <c r="P107" i="38"/>
  <c r="P111" i="38"/>
  <c r="J96" i="38"/>
  <c r="F18" i="2"/>
  <c r="P121" i="28"/>
  <c r="P145" i="18"/>
  <c r="P137" i="18"/>
  <c r="P133" i="18"/>
  <c r="P113" i="22"/>
  <c r="P130" i="25"/>
  <c r="P127" i="19"/>
  <c r="P137" i="21"/>
  <c r="P111" i="27"/>
  <c r="P128" i="38"/>
  <c r="C22" i="2"/>
  <c r="C55" i="2"/>
  <c r="C39" i="2"/>
  <c r="C82" i="2"/>
  <c r="C79" i="2"/>
  <c r="C8" i="2"/>
  <c r="C10" i="2"/>
  <c r="C56" i="2"/>
  <c r="C73" i="2"/>
  <c r="C62" i="2"/>
  <c r="C61" i="2"/>
  <c r="C80" i="2"/>
  <c r="P113" i="18"/>
  <c r="P111" i="29"/>
  <c r="P127" i="29"/>
  <c r="P142" i="31"/>
  <c r="F17" i="2"/>
  <c r="P107" i="24"/>
  <c r="P114" i="24"/>
  <c r="P100" i="13"/>
  <c r="P100" i="20"/>
  <c r="P155" i="21"/>
  <c r="P112" i="34"/>
  <c r="P105" i="22"/>
  <c r="P131" i="23"/>
  <c r="P134" i="3"/>
  <c r="P154" i="4"/>
  <c r="P118" i="4"/>
  <c r="P114" i="4"/>
  <c r="P155" i="18"/>
  <c r="P152" i="20"/>
  <c r="P148" i="20"/>
  <c r="P110" i="3"/>
  <c r="P123" i="18"/>
  <c r="P122" i="22"/>
  <c r="P130" i="22"/>
  <c r="P117" i="3"/>
  <c r="P148" i="4"/>
  <c r="P136" i="4"/>
  <c r="P146" i="18"/>
  <c r="P126" i="18"/>
  <c r="P111" i="18"/>
  <c r="P150" i="20"/>
  <c r="P146" i="20"/>
  <c r="P115" i="22"/>
  <c r="D95" i="35"/>
  <c r="D94" i="35"/>
  <c r="P111" i="23"/>
  <c r="P107" i="22"/>
  <c r="P118" i="23"/>
  <c r="C28" i="17"/>
  <c r="C35" i="17"/>
  <c r="C36" i="17"/>
  <c r="C22" i="17"/>
  <c r="C31" i="17"/>
  <c r="C18" i="17"/>
  <c r="C19" i="17"/>
  <c r="C23" i="17"/>
  <c r="C32" i="17"/>
  <c r="C26" i="17"/>
  <c r="C34" i="17"/>
  <c r="C25" i="17"/>
  <c r="C39" i="17"/>
  <c r="C27" i="17"/>
  <c r="C38" i="17"/>
  <c r="C30" i="17"/>
  <c r="C21" i="17"/>
  <c r="C20" i="17"/>
  <c r="C29" i="17"/>
  <c r="C33" i="17"/>
  <c r="C24" i="17"/>
  <c r="C37" i="17"/>
  <c r="C128" i="34" l="1"/>
  <c r="C129" i="34" s="1"/>
  <c r="C130" i="34" s="1"/>
  <c r="C131" i="34" s="1"/>
  <c r="C132" i="34" s="1"/>
  <c r="C133" i="34" s="1"/>
  <c r="C134" i="34" s="1"/>
  <c r="C135" i="34" s="1"/>
  <c r="C136" i="34" s="1"/>
  <c r="C137" i="34" s="1"/>
  <c r="C138" i="34" s="1"/>
  <c r="C139" i="34" s="1"/>
  <c r="C140" i="34" s="1"/>
  <c r="C141" i="34" s="1"/>
  <c r="C142" i="34" s="1"/>
  <c r="C143" i="34" s="1"/>
  <c r="C144" i="34" s="1"/>
  <c r="C145" i="34" s="1"/>
  <c r="C146" i="34" s="1"/>
  <c r="C147" i="34" s="1"/>
  <c r="C148" i="34" s="1"/>
  <c r="C149" i="34" s="1"/>
  <c r="C150" i="34" s="1"/>
  <c r="C151" i="34" s="1"/>
  <c r="C152" i="34" s="1"/>
  <c r="C153" i="34" s="1"/>
  <c r="C154" i="34" s="1"/>
  <c r="C155" i="34" s="1"/>
  <c r="D30" i="42"/>
  <c r="E30" i="42" s="1"/>
  <c r="D113" i="42"/>
  <c r="G112" i="42"/>
  <c r="C128" i="23"/>
  <c r="C129" i="23" s="1"/>
  <c r="C130" i="23" s="1"/>
  <c r="C131" i="23" s="1"/>
  <c r="C132" i="23" s="1"/>
  <c r="C133" i="23" s="1"/>
  <c r="C134" i="23" s="1"/>
  <c r="C135" i="23" s="1"/>
  <c r="C136" i="23" s="1"/>
  <c r="C137" i="23" s="1"/>
  <c r="C138" i="23" s="1"/>
  <c r="C139" i="23" s="1"/>
  <c r="C140" i="23" s="1"/>
  <c r="C141" i="23" s="1"/>
  <c r="C142" i="23" s="1"/>
  <c r="C143" i="23" s="1"/>
  <c r="C144" i="23" s="1"/>
  <c r="C145" i="23" s="1"/>
  <c r="C146" i="23" s="1"/>
  <c r="C147" i="23" s="1"/>
  <c r="C148" i="23" s="1"/>
  <c r="C149" i="23" s="1"/>
  <c r="C150" i="23" s="1"/>
  <c r="C151" i="23" s="1"/>
  <c r="C152" i="23" s="1"/>
  <c r="C153" i="23" s="1"/>
  <c r="C154" i="23" s="1"/>
  <c r="C155" i="23" s="1"/>
  <c r="C128" i="4"/>
  <c r="C129" i="4" s="1"/>
  <c r="C130" i="4" s="1"/>
  <c r="C131" i="4" s="1"/>
  <c r="C132" i="4" s="1"/>
  <c r="C133" i="4" s="1"/>
  <c r="C134" i="4" s="1"/>
  <c r="C135" i="4" s="1"/>
  <c r="C136" i="4" s="1"/>
  <c r="C137" i="4" s="1"/>
  <c r="C138" i="4" s="1"/>
  <c r="C139" i="4" s="1"/>
  <c r="C140" i="4" s="1"/>
  <c r="C141" i="4" s="1"/>
  <c r="C142" i="4" s="1"/>
  <c r="C143" i="4" s="1"/>
  <c r="C144" i="4" s="1"/>
  <c r="C145" i="4" s="1"/>
  <c r="C146" i="4" s="1"/>
  <c r="C147" i="4" s="1"/>
  <c r="C148" i="4" s="1"/>
  <c r="C149" i="4" s="1"/>
  <c r="C150" i="4" s="1"/>
  <c r="C151" i="4" s="1"/>
  <c r="C152" i="4" s="1"/>
  <c r="C153" i="4" s="1"/>
  <c r="C154" i="4" s="1"/>
  <c r="C155" i="4" s="1"/>
  <c r="D100" i="20"/>
  <c r="B100" i="20" s="1"/>
  <c r="E18" i="13"/>
  <c r="F18" i="13" s="1"/>
  <c r="G18" i="13" s="1"/>
  <c r="C128" i="18"/>
  <c r="C129" i="18" s="1"/>
  <c r="C130" i="18" s="1"/>
  <c r="C131" i="18" s="1"/>
  <c r="C132" i="18" s="1"/>
  <c r="C133" i="18" s="1"/>
  <c r="C134" i="18" s="1"/>
  <c r="C135" i="18" s="1"/>
  <c r="C136" i="18" s="1"/>
  <c r="C137" i="18" s="1"/>
  <c r="C138" i="18" s="1"/>
  <c r="C139" i="18" s="1"/>
  <c r="C140" i="18" s="1"/>
  <c r="C141" i="18" s="1"/>
  <c r="C142" i="18" s="1"/>
  <c r="C143" i="18" s="1"/>
  <c r="C144" i="18" s="1"/>
  <c r="C145" i="18" s="1"/>
  <c r="C146" i="18" s="1"/>
  <c r="C147" i="18" s="1"/>
  <c r="C148" i="18" s="1"/>
  <c r="C149" i="18" s="1"/>
  <c r="C150" i="18" s="1"/>
  <c r="C151" i="18" s="1"/>
  <c r="C152" i="18" s="1"/>
  <c r="C153" i="18" s="1"/>
  <c r="C154" i="18" s="1"/>
  <c r="C155" i="18" s="1"/>
  <c r="F100" i="20"/>
  <c r="F89" i="1"/>
  <c r="D13" i="21" s="1"/>
  <c r="C33" i="21" s="1"/>
  <c r="C34" i="21" s="1"/>
  <c r="C35" i="21" s="1"/>
  <c r="C36" i="21" s="1"/>
  <c r="C37" i="21" s="1"/>
  <c r="C38" i="21" s="1"/>
  <c r="C39" i="21" s="1"/>
  <c r="C40" i="21" s="1"/>
  <c r="C41" i="21" s="1"/>
  <c r="C42" i="21" s="1"/>
  <c r="C43" i="21" s="1"/>
  <c r="C44" i="21" s="1"/>
  <c r="C45" i="21" s="1"/>
  <c r="I13" i="39"/>
  <c r="C128" i="20"/>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01" i="22"/>
  <c r="C102" i="22" s="1"/>
  <c r="C103" i="22" s="1"/>
  <c r="C104" i="22" s="1"/>
  <c r="C105" i="22" s="1"/>
  <c r="C106" i="22" s="1"/>
  <c r="C107" i="22" s="1"/>
  <c r="C108" i="22" s="1"/>
  <c r="C109" i="22" s="1"/>
  <c r="C110" i="22" s="1"/>
  <c r="C111" i="22" s="1"/>
  <c r="C112" i="22" s="1"/>
  <c r="C113" i="22" s="1"/>
  <c r="C114" i="22" s="1"/>
  <c r="C115" i="22" s="1"/>
  <c r="C116" i="22" s="1"/>
  <c r="C117" i="22" s="1"/>
  <c r="C118" i="22" s="1"/>
  <c r="C119" i="22" s="1"/>
  <c r="C120" i="22" s="1"/>
  <c r="C121" i="22" s="1"/>
  <c r="C122" i="22" s="1"/>
  <c r="C123" i="22" s="1"/>
  <c r="C124" i="22" s="1"/>
  <c r="C125" i="22" s="1"/>
  <c r="C126" i="22" s="1"/>
  <c r="C127" i="22" s="1"/>
  <c r="C128" i="22" s="1"/>
  <c r="C129" i="22" s="1"/>
  <c r="C130" i="22" s="1"/>
  <c r="C131" i="22" s="1"/>
  <c r="C132" i="22" s="1"/>
  <c r="C133" i="22" s="1"/>
  <c r="C134" i="22" s="1"/>
  <c r="C135" i="22" s="1"/>
  <c r="C136" i="22" s="1"/>
  <c r="C137" i="22" s="1"/>
  <c r="C138" i="22" s="1"/>
  <c r="C139" i="22" s="1"/>
  <c r="C140" i="22" s="1"/>
  <c r="C141" i="22" s="1"/>
  <c r="C142" i="22" s="1"/>
  <c r="C143" i="22" s="1"/>
  <c r="C144" i="22" s="1"/>
  <c r="C145" i="22" s="1"/>
  <c r="C146" i="22" s="1"/>
  <c r="C147" i="22" s="1"/>
  <c r="C148" i="22" s="1"/>
  <c r="C149" i="22" s="1"/>
  <c r="C150" i="22" s="1"/>
  <c r="C151" i="22" s="1"/>
  <c r="C152" i="22" s="1"/>
  <c r="C153" i="22" s="1"/>
  <c r="C154" i="22" s="1"/>
  <c r="C155" i="22" s="1"/>
  <c r="C128" i="29"/>
  <c r="C129" i="29" s="1"/>
  <c r="C130" i="29" s="1"/>
  <c r="C131" i="29" s="1"/>
  <c r="C132" i="29" s="1"/>
  <c r="C133" i="29" s="1"/>
  <c r="C134" i="29" s="1"/>
  <c r="C135" i="29" s="1"/>
  <c r="C136" i="29" s="1"/>
  <c r="C137" i="29" s="1"/>
  <c r="C138" i="29" s="1"/>
  <c r="C139" i="29" s="1"/>
  <c r="C140" i="29" s="1"/>
  <c r="C141" i="29" s="1"/>
  <c r="C142" i="29" s="1"/>
  <c r="C143" i="29" s="1"/>
  <c r="C144" i="29" s="1"/>
  <c r="C145" i="29" s="1"/>
  <c r="C146" i="29" s="1"/>
  <c r="C147" i="29" s="1"/>
  <c r="C148" i="29" s="1"/>
  <c r="C149" i="29" s="1"/>
  <c r="C150" i="29" s="1"/>
  <c r="C151" i="29" s="1"/>
  <c r="C152" i="29" s="1"/>
  <c r="C153" i="29" s="1"/>
  <c r="C154" i="29" s="1"/>
  <c r="C155" i="29" s="1"/>
  <c r="C101" i="13"/>
  <c r="C102" i="13" s="1"/>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F100" i="13"/>
  <c r="G18" i="20"/>
  <c r="E19" i="20"/>
  <c r="F19" i="20" s="1"/>
  <c r="H18" i="20"/>
  <c r="N7" i="37"/>
  <c r="F20" i="1"/>
  <c r="E25" i="1" s="1"/>
  <c r="E26" i="1" s="1"/>
  <c r="E30" i="1" s="1"/>
  <c r="I13" i="13"/>
  <c r="G17" i="13"/>
  <c r="I13" i="24"/>
  <c r="D96" i="27"/>
  <c r="J97" i="27" s="1"/>
  <c r="D96" i="24"/>
  <c r="J97" i="24" s="1"/>
  <c r="D96" i="29"/>
  <c r="J97" i="29" s="1"/>
  <c r="D96" i="23"/>
  <c r="J97" i="23" s="1"/>
  <c r="D96" i="21"/>
  <c r="J97" i="21" s="1"/>
  <c r="D96" i="18"/>
  <c r="J97" i="18" s="1"/>
  <c r="D96" i="20"/>
  <c r="D96" i="38"/>
  <c r="J97" i="38" s="1"/>
  <c r="D96" i="13"/>
  <c r="D96" i="34"/>
  <c r="J97" i="34" s="1"/>
  <c r="D96" i="22"/>
  <c r="J97" i="22" s="1"/>
  <c r="D96" i="3"/>
  <c r="J97" i="3" s="1"/>
  <c r="D96" i="4"/>
  <c r="J97" i="4" s="1"/>
  <c r="D96" i="31"/>
  <c r="J97" i="31" s="1"/>
  <c r="D96" i="37"/>
  <c r="J97" i="37" s="1"/>
  <c r="D96" i="35"/>
  <c r="J97" i="35" s="1"/>
  <c r="D96" i="26"/>
  <c r="J97" i="26" s="1"/>
  <c r="D96" i="28"/>
  <c r="J97" i="28" s="1"/>
  <c r="D96" i="19"/>
  <c r="J97" i="19" s="1"/>
  <c r="D96" i="25"/>
  <c r="J97" i="25" s="1"/>
  <c r="C128" i="25"/>
  <c r="C129" i="25" s="1"/>
  <c r="C130" i="25" s="1"/>
  <c r="C131" i="25" s="1"/>
  <c r="C132" i="25" s="1"/>
  <c r="C133" i="25" s="1"/>
  <c r="C134" i="25" s="1"/>
  <c r="C135" i="25" s="1"/>
  <c r="C136" i="25" s="1"/>
  <c r="C137" i="25" s="1"/>
  <c r="C138" i="25" s="1"/>
  <c r="C139" i="25" s="1"/>
  <c r="C140" i="25" s="1"/>
  <c r="C141" i="25" s="1"/>
  <c r="C142" i="25" s="1"/>
  <c r="C143" i="25" s="1"/>
  <c r="C144" i="25" s="1"/>
  <c r="C145" i="25" s="1"/>
  <c r="C146" i="25" s="1"/>
  <c r="C147" i="25" s="1"/>
  <c r="C148" i="25" s="1"/>
  <c r="C149" i="25" s="1"/>
  <c r="C150" i="25" s="1"/>
  <c r="C151" i="25" s="1"/>
  <c r="C152" i="25" s="1"/>
  <c r="C153" i="25" s="1"/>
  <c r="C154" i="25" s="1"/>
  <c r="C155" i="25" s="1"/>
  <c r="C100" i="35"/>
  <c r="C101" i="35" s="1"/>
  <c r="C102" i="35" s="1"/>
  <c r="C103" i="35" s="1"/>
  <c r="C104" i="35" s="1"/>
  <c r="C105" i="35" s="1"/>
  <c r="C106" i="35" s="1"/>
  <c r="C107" i="35" s="1"/>
  <c r="C108" i="35" s="1"/>
  <c r="C109" i="35" s="1"/>
  <c r="C110" i="35" s="1"/>
  <c r="C111" i="35" s="1"/>
  <c r="C112" i="35" s="1"/>
  <c r="C113" i="35" s="1"/>
  <c r="C114" i="35" s="1"/>
  <c r="C115" i="35" s="1"/>
  <c r="C116" i="35" s="1"/>
  <c r="C117" i="35" s="1"/>
  <c r="C118" i="35" s="1"/>
  <c r="C119" i="35" s="1"/>
  <c r="C120" i="35" s="1"/>
  <c r="C121" i="35" s="1"/>
  <c r="C122" i="35" s="1"/>
  <c r="C123" i="35" s="1"/>
  <c r="C124" i="35" s="1"/>
  <c r="C125" i="35" s="1"/>
  <c r="C126" i="35" s="1"/>
  <c r="C127" i="35" s="1"/>
  <c r="B113" i="42" l="1"/>
  <c r="E113" i="42"/>
  <c r="F113" i="42" s="1"/>
  <c r="F30" i="42"/>
  <c r="B30" i="42"/>
  <c r="G100" i="20"/>
  <c r="I100" i="20" s="1"/>
  <c r="D101" i="20"/>
  <c r="E101" i="20" s="1"/>
  <c r="D19" i="13"/>
  <c r="B19" i="13" s="1"/>
  <c r="D13" i="19"/>
  <c r="C33" i="19" s="1"/>
  <c r="C34" i="19" s="1"/>
  <c r="C35" i="19" s="1"/>
  <c r="C36" i="19" s="1"/>
  <c r="C37" i="19" s="1"/>
  <c r="C38" i="19" s="1"/>
  <c r="C39" i="19" s="1"/>
  <c r="C40" i="19" s="1"/>
  <c r="C41" i="19" s="1"/>
  <c r="C42" i="19" s="1"/>
  <c r="C43" i="19" s="1"/>
  <c r="C44" i="19" s="1"/>
  <c r="C45" i="19" s="1"/>
  <c r="C46" i="19" s="1"/>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D13" i="18"/>
  <c r="C33" i="18" s="1"/>
  <c r="C34" i="18" s="1"/>
  <c r="C35" i="18" s="1"/>
  <c r="C36" i="18" s="1"/>
  <c r="C37" i="18" s="1"/>
  <c r="C38" i="18" s="1"/>
  <c r="C39" i="18" s="1"/>
  <c r="C40" i="18" s="1"/>
  <c r="C41" i="18" s="1"/>
  <c r="C42" i="18" s="1"/>
  <c r="C43" i="18" s="1"/>
  <c r="C44" i="18" s="1"/>
  <c r="C45" i="18" s="1"/>
  <c r="C46" i="18" s="1"/>
  <c r="C47" i="18" s="1"/>
  <c r="C48" i="18" s="1"/>
  <c r="C49" i="18" s="1"/>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 r="C73" i="18" s="1"/>
  <c r="D13" i="27"/>
  <c r="I14" i="27" s="1"/>
  <c r="D13" i="38"/>
  <c r="C73" i="38" s="1"/>
  <c r="D13" i="24"/>
  <c r="I14" i="24" s="1"/>
  <c r="D13" i="34"/>
  <c r="I14" i="34" s="1"/>
  <c r="D13" i="37"/>
  <c r="I14" i="37" s="1"/>
  <c r="D13" i="20"/>
  <c r="D13" i="35"/>
  <c r="C73" i="35" s="1"/>
  <c r="D13" i="25"/>
  <c r="I14" i="25" s="1"/>
  <c r="D13" i="23"/>
  <c r="C33" i="23" s="1"/>
  <c r="C34" i="23" s="1"/>
  <c r="C35" i="23" s="1"/>
  <c r="C36" i="23" s="1"/>
  <c r="C37" i="23" s="1"/>
  <c r="C38" i="23" s="1"/>
  <c r="C39" i="23" s="1"/>
  <c r="C40" i="23" s="1"/>
  <c r="C41" i="23" s="1"/>
  <c r="C42" i="23" s="1"/>
  <c r="C43" i="23" s="1"/>
  <c r="C44" i="23" s="1"/>
  <c r="C45" i="23" s="1"/>
  <c r="D13" i="28"/>
  <c r="I14" i="28" s="1"/>
  <c r="E23" i="28" s="1"/>
  <c r="D13" i="29"/>
  <c r="C33" i="29" s="1"/>
  <c r="C34" i="29" s="1"/>
  <c r="C35" i="29" s="1"/>
  <c r="C36" i="29" s="1"/>
  <c r="C37" i="29" s="1"/>
  <c r="C38" i="29" s="1"/>
  <c r="C39" i="29" s="1"/>
  <c r="C40" i="29" s="1"/>
  <c r="C41" i="29" s="1"/>
  <c r="C42" i="29" s="1"/>
  <c r="C43" i="29" s="1"/>
  <c r="C44" i="29" s="1"/>
  <c r="C45" i="29" s="1"/>
  <c r="N6" i="29" s="1"/>
  <c r="D13" i="39"/>
  <c r="D13" i="26"/>
  <c r="I14" i="21"/>
  <c r="D13" i="13"/>
  <c r="C73" i="13" s="1"/>
  <c r="D13" i="4"/>
  <c r="I14" i="4" s="1"/>
  <c r="D13" i="22"/>
  <c r="D13" i="31"/>
  <c r="D13" i="3"/>
  <c r="L100" i="38"/>
  <c r="M100" i="38" s="1"/>
  <c r="N100" i="38"/>
  <c r="O100" i="38" s="1"/>
  <c r="E32" i="1"/>
  <c r="E33" i="1" s="1"/>
  <c r="E35" i="1" s="1"/>
  <c r="F52" i="1" s="1"/>
  <c r="F51" i="1"/>
  <c r="G100" i="13"/>
  <c r="D101" i="13"/>
  <c r="I18" i="20"/>
  <c r="B20" i="20"/>
  <c r="H19" i="20"/>
  <c r="G19" i="20"/>
  <c r="E20" i="20"/>
  <c r="F20" i="20" s="1"/>
  <c r="H20" i="20" s="1"/>
  <c r="H17" i="13"/>
  <c r="I17" i="13" s="1"/>
  <c r="H18" i="13"/>
  <c r="C46" i="2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N5" i="21"/>
  <c r="N6" i="21"/>
  <c r="C128" i="35"/>
  <c r="C129" i="35" s="1"/>
  <c r="C130" i="35" s="1"/>
  <c r="C131" i="35" s="1"/>
  <c r="C132" i="35" s="1"/>
  <c r="C133" i="35" s="1"/>
  <c r="C134" i="35" s="1"/>
  <c r="C135" i="35" s="1"/>
  <c r="C136" i="35" s="1"/>
  <c r="C137" i="35" s="1"/>
  <c r="C138" i="35" s="1"/>
  <c r="C139" i="35" s="1"/>
  <c r="C140" i="35" s="1"/>
  <c r="C141" i="35" s="1"/>
  <c r="C142" i="35" s="1"/>
  <c r="C143" i="35" s="1"/>
  <c r="C144" i="35" s="1"/>
  <c r="C145" i="35" s="1"/>
  <c r="C146" i="35" s="1"/>
  <c r="C147" i="35" s="1"/>
  <c r="C148" i="35" s="1"/>
  <c r="C149" i="35" s="1"/>
  <c r="C150" i="35" s="1"/>
  <c r="C151" i="35" s="1"/>
  <c r="C152" i="35" s="1"/>
  <c r="C153" i="35" s="1"/>
  <c r="C154" i="35" s="1"/>
  <c r="C155" i="35" s="1"/>
  <c r="H100" i="20" l="1"/>
  <c r="J100" i="20" s="1"/>
  <c r="D114" i="42"/>
  <c r="E114" i="42" s="1"/>
  <c r="G113" i="42"/>
  <c r="D31" i="42"/>
  <c r="E31" i="42" s="1"/>
  <c r="E19" i="13"/>
  <c r="F19" i="13" s="1"/>
  <c r="H19" i="13" s="1"/>
  <c r="B101" i="20"/>
  <c r="F101" i="20"/>
  <c r="G101" i="20" s="1"/>
  <c r="C33" i="24"/>
  <c r="C34" i="24" s="1"/>
  <c r="C35" i="24" s="1"/>
  <c r="C36" i="24" s="1"/>
  <c r="C37" i="24" s="1"/>
  <c r="C38" i="24" s="1"/>
  <c r="C39" i="24" s="1"/>
  <c r="C40" i="24" s="1"/>
  <c r="C41" i="24" s="1"/>
  <c r="C42" i="24" s="1"/>
  <c r="C43" i="24" s="1"/>
  <c r="C44" i="24" s="1"/>
  <c r="C45" i="24" s="1"/>
  <c r="N5" i="24" s="1"/>
  <c r="I14" i="23"/>
  <c r="I14" i="19"/>
  <c r="N5" i="29"/>
  <c r="N7" i="29" s="1"/>
  <c r="C46" i="29"/>
  <c r="C47" i="29" s="1"/>
  <c r="C48" i="29" s="1"/>
  <c r="C49" i="29" s="1"/>
  <c r="C50" i="29" s="1"/>
  <c r="C51" i="29" s="1"/>
  <c r="C52" i="29" s="1"/>
  <c r="C53" i="29" s="1"/>
  <c r="C54" i="29" s="1"/>
  <c r="C55" i="29" s="1"/>
  <c r="C56" i="29" s="1"/>
  <c r="C57" i="29" s="1"/>
  <c r="C58" i="29" s="1"/>
  <c r="C59" i="29" s="1"/>
  <c r="C60" i="29" s="1"/>
  <c r="C61" i="29" s="1"/>
  <c r="C62" i="29" s="1"/>
  <c r="C63" i="29" s="1"/>
  <c r="C64" i="29" s="1"/>
  <c r="C65" i="29" s="1"/>
  <c r="C66" i="29" s="1"/>
  <c r="C67" i="29" s="1"/>
  <c r="C68" i="29" s="1"/>
  <c r="C69" i="29" s="1"/>
  <c r="C70" i="29" s="1"/>
  <c r="C71" i="29" s="1"/>
  <c r="C72" i="29" s="1"/>
  <c r="C73" i="29" s="1"/>
  <c r="I14" i="18"/>
  <c r="I14" i="35"/>
  <c r="C73" i="34"/>
  <c r="C33" i="27"/>
  <c r="C34" i="27" s="1"/>
  <c r="C35" i="27" s="1"/>
  <c r="C36" i="27" s="1"/>
  <c r="C37" i="27" s="1"/>
  <c r="C38" i="27" s="1"/>
  <c r="C39" i="27" s="1"/>
  <c r="C40" i="27" s="1"/>
  <c r="C41" i="27" s="1"/>
  <c r="C42" i="27" s="1"/>
  <c r="C43" i="27" s="1"/>
  <c r="C44" i="27" s="1"/>
  <c r="C45" i="27" s="1"/>
  <c r="N5" i="27" s="1"/>
  <c r="C73" i="37"/>
  <c r="B21" i="20"/>
  <c r="P100" i="38"/>
  <c r="I14" i="38"/>
  <c r="C33" i="28"/>
  <c r="C34" i="28" s="1"/>
  <c r="C35" i="28" s="1"/>
  <c r="C36" i="28" s="1"/>
  <c r="C37" i="28" s="1"/>
  <c r="C38" i="28" s="1"/>
  <c r="C39" i="28" s="1"/>
  <c r="C40" i="28" s="1"/>
  <c r="C41" i="28" s="1"/>
  <c r="C42" i="28" s="1"/>
  <c r="C43" i="28" s="1"/>
  <c r="C44" i="28" s="1"/>
  <c r="C45" i="28" s="1"/>
  <c r="C46" i="28" s="1"/>
  <c r="C47" i="28" s="1"/>
  <c r="C48" i="28" s="1"/>
  <c r="C49" i="28" s="1"/>
  <c r="C50" i="28" s="1"/>
  <c r="C51" i="28" s="1"/>
  <c r="C52" i="28" s="1"/>
  <c r="C53" i="28" s="1"/>
  <c r="C54" i="28" s="1"/>
  <c r="C55" i="28" s="1"/>
  <c r="C56" i="28" s="1"/>
  <c r="C57" i="28" s="1"/>
  <c r="C58" i="28" s="1"/>
  <c r="C59" i="28" s="1"/>
  <c r="C60" i="28" s="1"/>
  <c r="C61" i="28" s="1"/>
  <c r="C62" i="28" s="1"/>
  <c r="C63" i="28" s="1"/>
  <c r="C64" i="28" s="1"/>
  <c r="C65" i="28" s="1"/>
  <c r="C66" i="28" s="1"/>
  <c r="C67" i="28" s="1"/>
  <c r="C68" i="28" s="1"/>
  <c r="C69" i="28" s="1"/>
  <c r="C70" i="28" s="1"/>
  <c r="C71" i="28" s="1"/>
  <c r="C72" i="28" s="1"/>
  <c r="C73" i="28" s="1"/>
  <c r="I14" i="29"/>
  <c r="C33" i="25"/>
  <c r="C34" i="25" s="1"/>
  <c r="C35" i="25" s="1"/>
  <c r="C36" i="25" s="1"/>
  <c r="C37" i="25" s="1"/>
  <c r="C38" i="25" s="1"/>
  <c r="C39" i="25" s="1"/>
  <c r="C40" i="25" s="1"/>
  <c r="C41" i="25" s="1"/>
  <c r="C33" i="4"/>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I14" i="22"/>
  <c r="C33" i="22"/>
  <c r="C34" i="22" s="1"/>
  <c r="C35" i="22" s="1"/>
  <c r="C36" i="22" s="1"/>
  <c r="C37" i="22" s="1"/>
  <c r="C38" i="22" s="1"/>
  <c r="C39" i="22" s="1"/>
  <c r="C40" i="22" s="1"/>
  <c r="C41" i="22" s="1"/>
  <c r="C42" i="22" s="1"/>
  <c r="C43" i="22" s="1"/>
  <c r="C44" i="22" s="1"/>
  <c r="C45" i="22" s="1"/>
  <c r="I14" i="3"/>
  <c r="C33" i="3"/>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I14" i="26"/>
  <c r="C33" i="26"/>
  <c r="C34" i="26" s="1"/>
  <c r="C35" i="26" s="1"/>
  <c r="C36" i="26" s="1"/>
  <c r="C37" i="26" s="1"/>
  <c r="C38" i="26" s="1"/>
  <c r="C39" i="26" s="1"/>
  <c r="C40" i="26" s="1"/>
  <c r="C41" i="26" s="1"/>
  <c r="C42" i="26" s="1"/>
  <c r="C43" i="26" s="1"/>
  <c r="C44" i="26" s="1"/>
  <c r="C45" i="26" s="1"/>
  <c r="C46" i="26" s="1"/>
  <c r="C47" i="26" s="1"/>
  <c r="C48" i="26" s="1"/>
  <c r="C49" i="26" s="1"/>
  <c r="C50" i="26" s="1"/>
  <c r="C51" i="26" s="1"/>
  <c r="C52" i="26" s="1"/>
  <c r="C53" i="26" s="1"/>
  <c r="C54" i="26" s="1"/>
  <c r="C55" i="26" s="1"/>
  <c r="C56" i="26" s="1"/>
  <c r="C57" i="26" s="1"/>
  <c r="C58" i="26" s="1"/>
  <c r="C59" i="26" s="1"/>
  <c r="C60" i="26" s="1"/>
  <c r="C61" i="26" s="1"/>
  <c r="C62" i="26" s="1"/>
  <c r="C63" i="26" s="1"/>
  <c r="C64" i="26" s="1"/>
  <c r="C65" i="26" s="1"/>
  <c r="C66" i="26" s="1"/>
  <c r="C67" i="26" s="1"/>
  <c r="C68" i="26" s="1"/>
  <c r="C69" i="26" s="1"/>
  <c r="C70" i="26" s="1"/>
  <c r="C71" i="26" s="1"/>
  <c r="C72" i="26" s="1"/>
  <c r="C73" i="26" s="1"/>
  <c r="C33" i="31"/>
  <c r="C34" i="31" s="1"/>
  <c r="C35" i="31" s="1"/>
  <c r="C36" i="31" s="1"/>
  <c r="C37" i="31" s="1"/>
  <c r="C38" i="31" s="1"/>
  <c r="C39" i="31" s="1"/>
  <c r="C40" i="31" s="1"/>
  <c r="C41" i="31" s="1"/>
  <c r="C42" i="31" s="1"/>
  <c r="C43" i="31" s="1"/>
  <c r="C44" i="31" s="1"/>
  <c r="C45" i="31" s="1"/>
  <c r="I14" i="31"/>
  <c r="C73" i="39"/>
  <c r="J100" i="38"/>
  <c r="B101" i="38"/>
  <c r="B101" i="39"/>
  <c r="F53" i="1"/>
  <c r="F60" i="1" s="1"/>
  <c r="F63" i="1" s="1"/>
  <c r="F65" i="1" s="1"/>
  <c r="F67" i="1" s="1"/>
  <c r="J104" i="23"/>
  <c r="N6" i="23"/>
  <c r="N5" i="23"/>
  <c r="C46" i="23"/>
  <c r="C47" i="23" s="1"/>
  <c r="C48" i="23" s="1"/>
  <c r="C49" i="23" s="1"/>
  <c r="C50" i="23" s="1"/>
  <c r="C51" i="23" s="1"/>
  <c r="C52" i="23" s="1"/>
  <c r="C53" i="23" s="1"/>
  <c r="C54" i="23" s="1"/>
  <c r="C55" i="23" s="1"/>
  <c r="C56" i="23" s="1"/>
  <c r="C57" i="23" s="1"/>
  <c r="C58" i="23" s="1"/>
  <c r="C59" i="23" s="1"/>
  <c r="C60" i="23" s="1"/>
  <c r="C61" i="23" s="1"/>
  <c r="C62" i="23" s="1"/>
  <c r="C63" i="23" s="1"/>
  <c r="C64" i="23" s="1"/>
  <c r="C65" i="23" s="1"/>
  <c r="C66" i="23" s="1"/>
  <c r="C67" i="23" s="1"/>
  <c r="C68" i="23" s="1"/>
  <c r="C69" i="23" s="1"/>
  <c r="C70" i="23" s="1"/>
  <c r="C71" i="23" s="1"/>
  <c r="C72" i="23" s="1"/>
  <c r="C73" i="23" s="1"/>
  <c r="E101" i="13"/>
  <c r="F101" i="13" s="1"/>
  <c r="B101" i="13"/>
  <c r="H100" i="13"/>
  <c r="I100" i="13"/>
  <c r="I19" i="20"/>
  <c r="G20" i="20"/>
  <c r="I20" i="20" s="1"/>
  <c r="E21" i="20"/>
  <c r="F21" i="20" s="1"/>
  <c r="I18" i="13"/>
  <c r="B23" i="23"/>
  <c r="F23" i="28"/>
  <c r="E24" i="28" s="1"/>
  <c r="F24" i="28" s="1"/>
  <c r="N7" i="21"/>
  <c r="I22" i="23"/>
  <c r="B104" i="25"/>
  <c r="B108" i="19"/>
  <c r="B105" i="22"/>
  <c r="B109" i="3"/>
  <c r="F31" i="17"/>
  <c r="F23" i="17"/>
  <c r="C46" i="24" l="1"/>
  <c r="C47" i="24" s="1"/>
  <c r="C48" i="24" s="1"/>
  <c r="C49" i="24" s="1"/>
  <c r="C50" i="24" s="1"/>
  <c r="C51" i="24" s="1"/>
  <c r="C52" i="24" s="1"/>
  <c r="C53" i="24" s="1"/>
  <c r="C54" i="24" s="1"/>
  <c r="C55" i="24" s="1"/>
  <c r="C56" i="24" s="1"/>
  <c r="C57" i="24" s="1"/>
  <c r="C58" i="24" s="1"/>
  <c r="C59" i="24" s="1"/>
  <c r="C60" i="24" s="1"/>
  <c r="C61" i="24" s="1"/>
  <c r="C62" i="24" s="1"/>
  <c r="C63" i="24" s="1"/>
  <c r="C64" i="24" s="1"/>
  <c r="C65" i="24" s="1"/>
  <c r="C66" i="24" s="1"/>
  <c r="C67" i="24" s="1"/>
  <c r="C68" i="24" s="1"/>
  <c r="C69" i="24" s="1"/>
  <c r="C70" i="24" s="1"/>
  <c r="C71" i="24" s="1"/>
  <c r="C72" i="24" s="1"/>
  <c r="C73" i="24" s="1"/>
  <c r="D20" i="13"/>
  <c r="E20" i="13" s="1"/>
  <c r="F20" i="13" s="1"/>
  <c r="D21" i="13" s="1"/>
  <c r="E21" i="13" s="1"/>
  <c r="F21" i="13" s="1"/>
  <c r="G19" i="13"/>
  <c r="I19" i="13" s="1"/>
  <c r="N6" i="24"/>
  <c r="N7" i="24" s="1"/>
  <c r="F31" i="42"/>
  <c r="B31" i="42"/>
  <c r="F114" i="42"/>
  <c r="B114" i="42"/>
  <c r="C46" i="27"/>
  <c r="C47" i="27" s="1"/>
  <c r="C48" i="27" s="1"/>
  <c r="C49" i="27" s="1"/>
  <c r="C50" i="27" s="1"/>
  <c r="C51" i="27" s="1"/>
  <c r="C52" i="27" s="1"/>
  <c r="C53" i="27" s="1"/>
  <c r="C54" i="27" s="1"/>
  <c r="C55" i="27" s="1"/>
  <c r="C56" i="27" s="1"/>
  <c r="C57" i="27" s="1"/>
  <c r="C58" i="27" s="1"/>
  <c r="C59" i="27" s="1"/>
  <c r="C60" i="27" s="1"/>
  <c r="C61" i="27" s="1"/>
  <c r="C62" i="27" s="1"/>
  <c r="C63" i="27" s="1"/>
  <c r="C64" i="27" s="1"/>
  <c r="C65" i="27" s="1"/>
  <c r="C66" i="27" s="1"/>
  <c r="C67" i="27" s="1"/>
  <c r="C68" i="27" s="1"/>
  <c r="C69" i="27" s="1"/>
  <c r="C70" i="27" s="1"/>
  <c r="C71" i="27" s="1"/>
  <c r="C72" i="27" s="1"/>
  <c r="C73" i="27" s="1"/>
  <c r="D102" i="20"/>
  <c r="B102" i="20" s="1"/>
  <c r="N6" i="27"/>
  <c r="N7" i="27" s="1"/>
  <c r="H24" i="28"/>
  <c r="G24" i="28"/>
  <c r="E25" i="28"/>
  <c r="F25" i="28" s="1"/>
  <c r="N5" i="31"/>
  <c r="N6" i="31"/>
  <c r="C46" i="31"/>
  <c r="C47" i="31" s="1"/>
  <c r="C48" i="31" s="1"/>
  <c r="C49" i="31" s="1"/>
  <c r="C50" i="31" s="1"/>
  <c r="C51" i="31" s="1"/>
  <c r="C52" i="31" s="1"/>
  <c r="C53" i="31" s="1"/>
  <c r="C54" i="31" s="1"/>
  <c r="C55" i="31" s="1"/>
  <c r="C56" i="31" s="1"/>
  <c r="C57" i="31" s="1"/>
  <c r="C58" i="31" s="1"/>
  <c r="C59" i="31" s="1"/>
  <c r="C60" i="31" s="1"/>
  <c r="C61" i="31" s="1"/>
  <c r="C62" i="31" s="1"/>
  <c r="C63" i="31" s="1"/>
  <c r="C64" i="31" s="1"/>
  <c r="C65" i="31" s="1"/>
  <c r="C66" i="31" s="1"/>
  <c r="C67" i="31" s="1"/>
  <c r="C68" i="31" s="1"/>
  <c r="C69" i="31" s="1"/>
  <c r="C70" i="31" s="1"/>
  <c r="C71" i="31" s="1"/>
  <c r="C72" i="31" s="1"/>
  <c r="C73" i="31" s="1"/>
  <c r="N5" i="22"/>
  <c r="C46" i="22"/>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C68" i="22" s="1"/>
  <c r="C69" i="22" s="1"/>
  <c r="C70" i="22" s="1"/>
  <c r="C71" i="22" s="1"/>
  <c r="C72" i="22" s="1"/>
  <c r="C73" i="22" s="1"/>
  <c r="N6" i="22"/>
  <c r="F73" i="1"/>
  <c r="F74" i="1" s="1"/>
  <c r="L100" i="39"/>
  <c r="M100" i="39" s="1"/>
  <c r="N100" i="39"/>
  <c r="O100" i="39" s="1"/>
  <c r="J100" i="39"/>
  <c r="N20" i="37"/>
  <c r="O20" i="37" s="1"/>
  <c r="J105" i="23"/>
  <c r="N7" i="23"/>
  <c r="D102" i="13"/>
  <c r="G101" i="13"/>
  <c r="J100" i="13"/>
  <c r="I23" i="23"/>
  <c r="G23" i="17"/>
  <c r="G31" i="17"/>
  <c r="G23" i="28"/>
  <c r="H23" i="28"/>
  <c r="I26" i="3"/>
  <c r="B27" i="3"/>
  <c r="B22" i="20"/>
  <c r="G21" i="20"/>
  <c r="H21" i="20"/>
  <c r="E22" i="20"/>
  <c r="F68" i="1"/>
  <c r="F69" i="1" s="1"/>
  <c r="F54" i="1" s="1"/>
  <c r="F55" i="1" s="1"/>
  <c r="F57" i="1" s="1"/>
  <c r="F76" i="1" s="1"/>
  <c r="F77" i="1" s="1"/>
  <c r="F79" i="1" s="1"/>
  <c r="B108" i="18"/>
  <c r="B109" i="4"/>
  <c r="B101" i="37"/>
  <c r="L100" i="37"/>
  <c r="M100" i="37" s="1"/>
  <c r="N100" i="37"/>
  <c r="O100" i="37" s="1"/>
  <c r="B102" i="31"/>
  <c r="B102" i="35"/>
  <c r="B106" i="28"/>
  <c r="B105" i="26"/>
  <c r="I101" i="20"/>
  <c r="H101" i="20"/>
  <c r="B106" i="27"/>
  <c r="J107" i="19"/>
  <c r="B102" i="38"/>
  <c r="B106" i="21"/>
  <c r="B102" i="34"/>
  <c r="B106" i="24"/>
  <c r="J108" i="3"/>
  <c r="J104" i="22"/>
  <c r="F29" i="17"/>
  <c r="F27" i="17"/>
  <c r="F25" i="17"/>
  <c r="G20" i="13" l="1"/>
  <c r="B20" i="13"/>
  <c r="H20" i="13"/>
  <c r="B21" i="13"/>
  <c r="D115" i="42"/>
  <c r="E115" i="42" s="1"/>
  <c r="G114" i="42"/>
  <c r="D32" i="42"/>
  <c r="E102" i="20"/>
  <c r="F102" i="20" s="1"/>
  <c r="G102" i="20" s="1"/>
  <c r="I102" i="20" s="1"/>
  <c r="P100" i="39"/>
  <c r="G29" i="17"/>
  <c r="N7" i="31"/>
  <c r="H25" i="28"/>
  <c r="G25" i="28"/>
  <c r="E26" i="28"/>
  <c r="F26" i="28" s="1"/>
  <c r="N7" i="22"/>
  <c r="B102" i="39"/>
  <c r="P100" i="37"/>
  <c r="G25" i="17"/>
  <c r="G27" i="17"/>
  <c r="B24" i="24"/>
  <c r="I23" i="24"/>
  <c r="I101" i="13"/>
  <c r="H101" i="13"/>
  <c r="E102" i="13"/>
  <c r="F102" i="13" s="1"/>
  <c r="B102" i="13"/>
  <c r="H21" i="13"/>
  <c r="N6" i="13" s="1"/>
  <c r="D22" i="13"/>
  <c r="E22" i="13" s="1"/>
  <c r="F22" i="13" s="1"/>
  <c r="G21" i="13"/>
  <c r="N5" i="13" s="1"/>
  <c r="B20" i="35"/>
  <c r="B19" i="37"/>
  <c r="I25" i="19"/>
  <c r="B24" i="21"/>
  <c r="I19" i="31"/>
  <c r="I23" i="27"/>
  <c r="C42" i="25"/>
  <c r="C43" i="25" s="1"/>
  <c r="C44" i="25" s="1"/>
  <c r="C45" i="25" s="1"/>
  <c r="B22" i="25"/>
  <c r="I22" i="26"/>
  <c r="I22" i="22"/>
  <c r="B26" i="19"/>
  <c r="N5" i="19"/>
  <c r="F22" i="20"/>
  <c r="B18" i="38"/>
  <c r="B27" i="4"/>
  <c r="I23" i="28"/>
  <c r="B24" i="27"/>
  <c r="B26" i="18"/>
  <c r="N6" i="18"/>
  <c r="I23" i="21"/>
  <c r="B23" i="22"/>
  <c r="I21" i="20"/>
  <c r="I26" i="4"/>
  <c r="B23" i="26"/>
  <c r="B20" i="34"/>
  <c r="B24" i="23"/>
  <c r="I17" i="38"/>
  <c r="B24" i="28"/>
  <c r="I20" i="29"/>
  <c r="I19" i="34"/>
  <c r="I19" i="35"/>
  <c r="B20" i="31"/>
  <c r="I18" i="37"/>
  <c r="I21" i="25"/>
  <c r="I25" i="18"/>
  <c r="J108" i="4"/>
  <c r="J107" i="18"/>
  <c r="J101" i="35"/>
  <c r="J100" i="37"/>
  <c r="J103" i="25"/>
  <c r="J104" i="26"/>
  <c r="J105" i="28"/>
  <c r="B105" i="25"/>
  <c r="J105" i="27"/>
  <c r="J105" i="21"/>
  <c r="J102" i="29"/>
  <c r="J101" i="20"/>
  <c r="J105" i="24"/>
  <c r="J101" i="38"/>
  <c r="J101" i="34"/>
  <c r="B109" i="19"/>
  <c r="B110" i="3"/>
  <c r="B106" i="22"/>
  <c r="F32" i="17"/>
  <c r="F24" i="17"/>
  <c r="I20" i="13" l="1"/>
  <c r="N7" i="13"/>
  <c r="B32" i="42"/>
  <c r="E32" i="42"/>
  <c r="F32" i="42" s="1"/>
  <c r="F115" i="42"/>
  <c r="B115" i="42"/>
  <c r="H102" i="20"/>
  <c r="J102" i="20" s="1"/>
  <c r="D103" i="20"/>
  <c r="E103" i="20" s="1"/>
  <c r="G32" i="17"/>
  <c r="H26" i="28"/>
  <c r="N6" i="28" s="1"/>
  <c r="G26" i="28"/>
  <c r="N5" i="28" s="1"/>
  <c r="E27" i="28"/>
  <c r="F27" i="28" s="1"/>
  <c r="J101" i="39"/>
  <c r="I18" i="39"/>
  <c r="G24" i="17"/>
  <c r="B19" i="39"/>
  <c r="K20" i="35"/>
  <c r="L20" i="35" s="1"/>
  <c r="N5" i="35"/>
  <c r="K20" i="34"/>
  <c r="L20" i="34" s="1"/>
  <c r="N5" i="34"/>
  <c r="K23" i="26"/>
  <c r="L23" i="26" s="1"/>
  <c r="N5" i="26"/>
  <c r="M27" i="4"/>
  <c r="N27" i="4" s="1"/>
  <c r="N6" i="4"/>
  <c r="M27" i="3"/>
  <c r="N27" i="3" s="1"/>
  <c r="N6" i="3"/>
  <c r="K27" i="3"/>
  <c r="L27" i="3" s="1"/>
  <c r="N5" i="3"/>
  <c r="I24" i="24"/>
  <c r="B22" i="13"/>
  <c r="I21" i="13"/>
  <c r="B25" i="24"/>
  <c r="J104" i="25"/>
  <c r="G102" i="13"/>
  <c r="D103" i="13"/>
  <c r="B103" i="13" s="1"/>
  <c r="J101" i="13"/>
  <c r="I23" i="22"/>
  <c r="I20" i="31"/>
  <c r="I24" i="21"/>
  <c r="I19" i="37"/>
  <c r="I24" i="23"/>
  <c r="D23" i="13"/>
  <c r="E23" i="13" s="1"/>
  <c r="G22" i="13"/>
  <c r="H22" i="13"/>
  <c r="I27" i="3"/>
  <c r="G22" i="20"/>
  <c r="H22" i="20"/>
  <c r="E23" i="20"/>
  <c r="B23" i="20"/>
  <c r="B28" i="3"/>
  <c r="I21" i="29"/>
  <c r="N24" i="27"/>
  <c r="O24" i="27" s="1"/>
  <c r="N5" i="25"/>
  <c r="C46" i="25"/>
  <c r="C47" i="25" s="1"/>
  <c r="C48" i="25" s="1"/>
  <c r="C49" i="25" s="1"/>
  <c r="C50" i="25" s="1"/>
  <c r="C51" i="25" s="1"/>
  <c r="C52" i="25" s="1"/>
  <c r="C53" i="25" s="1"/>
  <c r="C54" i="25" s="1"/>
  <c r="C55" i="25" s="1"/>
  <c r="C56" i="25" s="1"/>
  <c r="C57" i="25" s="1"/>
  <c r="C58" i="25" s="1"/>
  <c r="C59" i="25" s="1"/>
  <c r="C60" i="25" s="1"/>
  <c r="C61" i="25" s="1"/>
  <c r="C62" i="25" s="1"/>
  <c r="C63" i="25" s="1"/>
  <c r="C64" i="25" s="1"/>
  <c r="C65" i="25" s="1"/>
  <c r="C66" i="25" s="1"/>
  <c r="C67" i="25" s="1"/>
  <c r="C68" i="25" s="1"/>
  <c r="C69" i="25" s="1"/>
  <c r="C70" i="25" s="1"/>
  <c r="C71" i="25" s="1"/>
  <c r="C72" i="25" s="1"/>
  <c r="C73" i="25" s="1"/>
  <c r="N6" i="25"/>
  <c r="B110" i="4"/>
  <c r="B109" i="18"/>
  <c r="B103" i="35"/>
  <c r="B107" i="28"/>
  <c r="P101" i="37"/>
  <c r="B106" i="26"/>
  <c r="B102" i="37"/>
  <c r="B103" i="31"/>
  <c r="B103" i="34"/>
  <c r="B107" i="27"/>
  <c r="B103" i="38"/>
  <c r="B107" i="21"/>
  <c r="B107" i="24"/>
  <c r="J108" i="19"/>
  <c r="J105" i="22"/>
  <c r="J109" i="3"/>
  <c r="J106" i="23"/>
  <c r="F103" i="20" l="1"/>
  <c r="D104" i="20" s="1"/>
  <c r="B104" i="20" s="1"/>
  <c r="N7" i="28"/>
  <c r="B103" i="20"/>
  <c r="D33" i="42"/>
  <c r="E33" i="42" s="1"/>
  <c r="D116" i="42"/>
  <c r="E116" i="42" s="1"/>
  <c r="G115" i="42"/>
  <c r="H27" i="28"/>
  <c r="G27" i="28"/>
  <c r="E28" i="28"/>
  <c r="F28" i="28" s="1"/>
  <c r="I19" i="39"/>
  <c r="I24" i="28"/>
  <c r="I20" i="35"/>
  <c r="M20" i="35"/>
  <c r="N20" i="35" s="1"/>
  <c r="O20" i="35" s="1"/>
  <c r="N6" i="35"/>
  <c r="N7" i="35" s="1"/>
  <c r="I20" i="34"/>
  <c r="M20" i="34"/>
  <c r="N20" i="34" s="1"/>
  <c r="O20" i="34" s="1"/>
  <c r="N6" i="34"/>
  <c r="N7" i="34" s="1"/>
  <c r="M23" i="26"/>
  <c r="N23" i="26" s="1"/>
  <c r="O23" i="26" s="1"/>
  <c r="N6" i="26"/>
  <c r="N7" i="26" s="1"/>
  <c r="I26" i="19"/>
  <c r="N6" i="19"/>
  <c r="N7" i="19" s="1"/>
  <c r="I26" i="18"/>
  <c r="N5" i="18"/>
  <c r="N7" i="18" s="1"/>
  <c r="I27" i="4"/>
  <c r="K27" i="4"/>
  <c r="L27" i="4" s="1"/>
  <c r="O27" i="4" s="1"/>
  <c r="N5" i="4"/>
  <c r="N7" i="4" s="1"/>
  <c r="N7" i="3"/>
  <c r="O27" i="3"/>
  <c r="I18" i="38"/>
  <c r="E103" i="13"/>
  <c r="F103" i="13" s="1"/>
  <c r="D104" i="13" s="1"/>
  <c r="I25" i="24"/>
  <c r="J101" i="37"/>
  <c r="H102" i="13"/>
  <c r="I102" i="13"/>
  <c r="N7" i="25"/>
  <c r="I23" i="26"/>
  <c r="B21" i="34"/>
  <c r="B20" i="37"/>
  <c r="B27" i="18"/>
  <c r="J108" i="18"/>
  <c r="B27" i="19"/>
  <c r="F23" i="20"/>
  <c r="B24" i="26"/>
  <c r="J109" i="4"/>
  <c r="B25" i="21"/>
  <c r="I22" i="20"/>
  <c r="I22" i="13"/>
  <c r="B24" i="22"/>
  <c r="B28" i="4"/>
  <c r="B25" i="23"/>
  <c r="I24" i="27"/>
  <c r="B19" i="38"/>
  <c r="N6" i="38"/>
  <c r="I22" i="25"/>
  <c r="B23" i="25"/>
  <c r="B25" i="27"/>
  <c r="B21" i="31"/>
  <c r="F23" i="13"/>
  <c r="H23" i="13" s="1"/>
  <c r="B23" i="13"/>
  <c r="B25" i="28"/>
  <c r="B21" i="35"/>
  <c r="J102" i="31"/>
  <c r="J105" i="26"/>
  <c r="B106" i="25"/>
  <c r="J106" i="28"/>
  <c r="J102" i="35"/>
  <c r="J102" i="38"/>
  <c r="J106" i="27"/>
  <c r="J106" i="24"/>
  <c r="J102" i="34"/>
  <c r="B110" i="19"/>
  <c r="J106" i="21"/>
  <c r="J103" i="29"/>
  <c r="B111" i="3"/>
  <c r="B107" i="22"/>
  <c r="F19" i="17"/>
  <c r="F26" i="17"/>
  <c r="F34" i="17"/>
  <c r="F18" i="17"/>
  <c r="F33" i="17"/>
  <c r="F30" i="17"/>
  <c r="F28" i="17"/>
  <c r="F21" i="17"/>
  <c r="F20" i="17"/>
  <c r="G103" i="20" l="1"/>
  <c r="H103" i="20" s="1"/>
  <c r="E104" i="20"/>
  <c r="F104" i="20" s="1"/>
  <c r="D105" i="20" s="1"/>
  <c r="J102" i="39"/>
  <c r="G30" i="17"/>
  <c r="F116" i="42"/>
  <c r="B116" i="42"/>
  <c r="B33" i="42"/>
  <c r="F33" i="42"/>
  <c r="H28" i="28"/>
  <c r="G28" i="28"/>
  <c r="E29" i="28"/>
  <c r="F29" i="28" s="1"/>
  <c r="B20" i="39"/>
  <c r="G34" i="17"/>
  <c r="I25" i="28"/>
  <c r="G33" i="17"/>
  <c r="G28" i="17"/>
  <c r="G21" i="17"/>
  <c r="G20" i="17"/>
  <c r="G19" i="17"/>
  <c r="G18" i="17"/>
  <c r="G103" i="13"/>
  <c r="I103" i="13" s="1"/>
  <c r="I21" i="34"/>
  <c r="B26" i="24"/>
  <c r="B104" i="13"/>
  <c r="J102" i="13"/>
  <c r="E104" i="13"/>
  <c r="F104" i="13" s="1"/>
  <c r="I23" i="25"/>
  <c r="G26" i="17"/>
  <c r="I21" i="35"/>
  <c r="I28" i="4"/>
  <c r="I24" i="22"/>
  <c r="I22" i="29"/>
  <c r="I21" i="31"/>
  <c r="I25" i="23"/>
  <c r="I24" i="26"/>
  <c r="I25" i="27"/>
  <c r="H23" i="20"/>
  <c r="G23" i="20"/>
  <c r="E24" i="20"/>
  <c r="B24" i="20"/>
  <c r="G23" i="13"/>
  <c r="I23" i="13" s="1"/>
  <c r="B29" i="3"/>
  <c r="D24" i="13"/>
  <c r="E24" i="13" s="1"/>
  <c r="I28" i="3"/>
  <c r="B111" i="4"/>
  <c r="B110" i="18"/>
  <c r="B108" i="28"/>
  <c r="B104" i="31"/>
  <c r="B107" i="26"/>
  <c r="B104" i="35"/>
  <c r="B103" i="37"/>
  <c r="J105" i="25"/>
  <c r="B104" i="34"/>
  <c r="B108" i="27"/>
  <c r="B108" i="24"/>
  <c r="J109" i="19"/>
  <c r="B104" i="38"/>
  <c r="J104" i="29"/>
  <c r="B108" i="21"/>
  <c r="J106" i="22"/>
  <c r="J110" i="3"/>
  <c r="J107" i="23"/>
  <c r="G104" i="20" l="1"/>
  <c r="H104" i="20" s="1"/>
  <c r="I103" i="20"/>
  <c r="J103" i="20" s="1"/>
  <c r="D34" i="42"/>
  <c r="E34" i="42" s="1"/>
  <c r="D117" i="42"/>
  <c r="G116" i="42"/>
  <c r="J108" i="23"/>
  <c r="D109" i="23"/>
  <c r="E109" i="23"/>
  <c r="I20" i="39"/>
  <c r="H29" i="28"/>
  <c r="G29" i="28"/>
  <c r="E30" i="28"/>
  <c r="F30" i="28" s="1"/>
  <c r="H103" i="13"/>
  <c r="J103" i="13" s="1"/>
  <c r="I19" i="38"/>
  <c r="N5" i="38"/>
  <c r="N7" i="38" s="1"/>
  <c r="I26" i="24"/>
  <c r="G104" i="13"/>
  <c r="D105" i="13"/>
  <c r="B22" i="31"/>
  <c r="I27" i="18"/>
  <c r="B28" i="18"/>
  <c r="F24" i="20"/>
  <c r="B26" i="27"/>
  <c r="B26" i="28"/>
  <c r="B25" i="26"/>
  <c r="B28" i="19"/>
  <c r="I23" i="20"/>
  <c r="B22" i="34"/>
  <c r="I20" i="37"/>
  <c r="B24" i="25"/>
  <c r="B26" i="21"/>
  <c r="B26" i="23"/>
  <c r="B20" i="38"/>
  <c r="I27" i="19"/>
  <c r="F24" i="13"/>
  <c r="H24" i="13" s="1"/>
  <c r="B24" i="13"/>
  <c r="B29" i="4"/>
  <c r="I25" i="21"/>
  <c r="B21" i="37"/>
  <c r="B25" i="22"/>
  <c r="B22" i="35"/>
  <c r="J107" i="28"/>
  <c r="J110" i="4"/>
  <c r="J109" i="18"/>
  <c r="J102" i="37"/>
  <c r="J103" i="31"/>
  <c r="J106" i="26"/>
  <c r="J103" i="35"/>
  <c r="B107" i="25"/>
  <c r="E107" i="29"/>
  <c r="D105" i="38"/>
  <c r="J107" i="27"/>
  <c r="J103" i="34"/>
  <c r="J103" i="38"/>
  <c r="D109" i="27"/>
  <c r="E109" i="27"/>
  <c r="B111" i="19"/>
  <c r="J107" i="24"/>
  <c r="J107" i="21"/>
  <c r="B108" i="22"/>
  <c r="B112" i="3"/>
  <c r="B105" i="20"/>
  <c r="E105" i="20"/>
  <c r="F105" i="20" s="1"/>
  <c r="F35" i="17"/>
  <c r="I104" i="20" l="1"/>
  <c r="J104" i="20" s="1"/>
  <c r="B117" i="42"/>
  <c r="E117" i="42"/>
  <c r="F117" i="42" s="1"/>
  <c r="F34" i="42"/>
  <c r="B34" i="42"/>
  <c r="F109" i="23"/>
  <c r="E110" i="23" s="1"/>
  <c r="H30" i="28"/>
  <c r="G30" i="28"/>
  <c r="E31" i="28"/>
  <c r="F31" i="28" s="1"/>
  <c r="G35" i="17"/>
  <c r="E105" i="38"/>
  <c r="F105" i="38" s="1"/>
  <c r="H105" i="38" s="1"/>
  <c r="B27" i="24"/>
  <c r="J106" i="25"/>
  <c r="E105" i="13"/>
  <c r="F105" i="13" s="1"/>
  <c r="B105" i="13"/>
  <c r="I104" i="13"/>
  <c r="H104" i="13"/>
  <c r="I25" i="22"/>
  <c r="I22" i="35"/>
  <c r="I22" i="31"/>
  <c r="I26" i="23"/>
  <c r="I26" i="21"/>
  <c r="G24" i="13"/>
  <c r="I24" i="13" s="1"/>
  <c r="I23" i="29"/>
  <c r="I26" i="27"/>
  <c r="I29" i="3"/>
  <c r="H24" i="20"/>
  <c r="B25" i="20"/>
  <c r="E25" i="20"/>
  <c r="F25" i="20" s="1"/>
  <c r="G24" i="20"/>
  <c r="D25" i="13"/>
  <c r="D27" i="23"/>
  <c r="E27" i="23"/>
  <c r="B30" i="3"/>
  <c r="D27" i="27"/>
  <c r="E27" i="27"/>
  <c r="B112" i="4"/>
  <c r="B111" i="18"/>
  <c r="D108" i="25"/>
  <c r="E108" i="25"/>
  <c r="B108" i="26"/>
  <c r="B109" i="28"/>
  <c r="B104" i="37"/>
  <c r="B105" i="35"/>
  <c r="B105" i="31"/>
  <c r="D107" i="29"/>
  <c r="B109" i="24"/>
  <c r="B105" i="38"/>
  <c r="J110" i="19"/>
  <c r="D112" i="19"/>
  <c r="E112" i="19"/>
  <c r="F109" i="27"/>
  <c r="H109" i="27" s="1"/>
  <c r="B109" i="27"/>
  <c r="B109" i="21"/>
  <c r="J105" i="29"/>
  <c r="B105" i="34"/>
  <c r="G105" i="20"/>
  <c r="D106" i="20"/>
  <c r="E106" i="20" s="1"/>
  <c r="D113" i="3"/>
  <c r="E113" i="3"/>
  <c r="D109" i="22"/>
  <c r="E109" i="22"/>
  <c r="J107" i="22"/>
  <c r="J111" i="3"/>
  <c r="G109" i="23" l="1"/>
  <c r="I109" i="23" s="1"/>
  <c r="D118" i="42"/>
  <c r="E118" i="42" s="1"/>
  <c r="G117" i="42"/>
  <c r="D35" i="42"/>
  <c r="E35" i="42" s="1"/>
  <c r="D110" i="23"/>
  <c r="F110" i="23" s="1"/>
  <c r="D111" i="23" s="1"/>
  <c r="H109" i="23"/>
  <c r="H31" i="28"/>
  <c r="G31" i="28"/>
  <c r="E32" i="28"/>
  <c r="F32" i="28" s="1"/>
  <c r="F107" i="29"/>
  <c r="E108" i="29" s="1"/>
  <c r="I27" i="24"/>
  <c r="D28" i="24"/>
  <c r="E28" i="24"/>
  <c r="I30" i="3"/>
  <c r="J106" i="29"/>
  <c r="J104" i="31"/>
  <c r="J104" i="13"/>
  <c r="D106" i="13"/>
  <c r="G105" i="13"/>
  <c r="J110" i="18"/>
  <c r="B30" i="4"/>
  <c r="J111" i="4"/>
  <c r="I22" i="34"/>
  <c r="B21" i="38"/>
  <c r="B23" i="34"/>
  <c r="I24" i="25"/>
  <c r="I29" i="4"/>
  <c r="B25" i="13"/>
  <c r="B27" i="27"/>
  <c r="F27" i="27"/>
  <c r="H27" i="27" s="1"/>
  <c r="B27" i="21"/>
  <c r="E25" i="13"/>
  <c r="F25" i="13" s="1"/>
  <c r="B29" i="18"/>
  <c r="I26" i="28"/>
  <c r="I28" i="19"/>
  <c r="B23" i="31"/>
  <c r="I20" i="38"/>
  <c r="B23" i="35"/>
  <c r="B27" i="28"/>
  <c r="F27" i="23"/>
  <c r="G27" i="23" s="1"/>
  <c r="B27" i="23"/>
  <c r="B26" i="22"/>
  <c r="G25" i="20"/>
  <c r="B26" i="20"/>
  <c r="H25" i="20"/>
  <c r="E26" i="20"/>
  <c r="F26" i="20" s="1"/>
  <c r="B22" i="37"/>
  <c r="I25" i="26"/>
  <c r="B26" i="26"/>
  <c r="I28" i="18"/>
  <c r="B25" i="25"/>
  <c r="D31" i="3"/>
  <c r="E31" i="3"/>
  <c r="B29" i="19"/>
  <c r="I24" i="20"/>
  <c r="I21" i="37"/>
  <c r="J108" i="28"/>
  <c r="J104" i="35"/>
  <c r="D112" i="18"/>
  <c r="E112" i="18"/>
  <c r="E113" i="4"/>
  <c r="D113" i="4"/>
  <c r="D105" i="37"/>
  <c r="E105" i="37"/>
  <c r="D106" i="31"/>
  <c r="E106" i="31"/>
  <c r="J103" i="37"/>
  <c r="E109" i="26"/>
  <c r="D109" i="26"/>
  <c r="E106" i="35"/>
  <c r="D106" i="35"/>
  <c r="J107" i="26"/>
  <c r="B108" i="25"/>
  <c r="F108" i="25"/>
  <c r="H108" i="25" s="1"/>
  <c r="J108" i="27"/>
  <c r="D110" i="24"/>
  <c r="E110" i="24"/>
  <c r="D106" i="38"/>
  <c r="G105" i="38"/>
  <c r="B112" i="19"/>
  <c r="F112" i="19"/>
  <c r="H112" i="19" s="1"/>
  <c r="D106" i="34"/>
  <c r="E106" i="34"/>
  <c r="D110" i="21"/>
  <c r="E110" i="21"/>
  <c r="J108" i="21"/>
  <c r="J104" i="34"/>
  <c r="J104" i="38"/>
  <c r="G109" i="27"/>
  <c r="D110" i="27"/>
  <c r="E110" i="27"/>
  <c r="J108" i="24"/>
  <c r="F109" i="22"/>
  <c r="H109" i="22" s="1"/>
  <c r="B109" i="22"/>
  <c r="F113" i="3"/>
  <c r="H113" i="3" s="1"/>
  <c r="B113" i="3"/>
  <c r="F106" i="20"/>
  <c r="B106" i="20"/>
  <c r="I105" i="20"/>
  <c r="H105" i="20"/>
  <c r="J109" i="23" l="1"/>
  <c r="F35" i="42"/>
  <c r="B35" i="42"/>
  <c r="F118" i="42"/>
  <c r="B118" i="42"/>
  <c r="H110" i="23"/>
  <c r="H32" i="28"/>
  <c r="G32" i="28"/>
  <c r="E33" i="28"/>
  <c r="F33" i="28" s="1"/>
  <c r="G110" i="23"/>
  <c r="I110" i="23" s="1"/>
  <c r="E111" i="23"/>
  <c r="F111" i="23" s="1"/>
  <c r="D112" i="23" s="1"/>
  <c r="D108" i="29"/>
  <c r="F108" i="29" s="1"/>
  <c r="G107" i="29"/>
  <c r="I107" i="29" s="1"/>
  <c r="H107" i="29"/>
  <c r="F28" i="24"/>
  <c r="G28" i="24" s="1"/>
  <c r="B28" i="24"/>
  <c r="J107" i="25"/>
  <c r="I105" i="13"/>
  <c r="H105" i="13"/>
  <c r="E106" i="13"/>
  <c r="F106" i="13" s="1"/>
  <c r="B106" i="13"/>
  <c r="I22" i="37"/>
  <c r="I23" i="31"/>
  <c r="I21" i="38"/>
  <c r="H27" i="23"/>
  <c r="I27" i="23" s="1"/>
  <c r="I23" i="35"/>
  <c r="I29" i="19"/>
  <c r="D30" i="18"/>
  <c r="E30" i="18"/>
  <c r="I25" i="20"/>
  <c r="D24" i="31"/>
  <c r="E24" i="31"/>
  <c r="D24" i="34"/>
  <c r="E24" i="34"/>
  <c r="D31" i="4"/>
  <c r="E31" i="4"/>
  <c r="D30" i="19"/>
  <c r="E30" i="19"/>
  <c r="D28" i="27"/>
  <c r="E28" i="27"/>
  <c r="D26" i="25"/>
  <c r="E26" i="25"/>
  <c r="F31" i="3"/>
  <c r="B31" i="3"/>
  <c r="D27" i="26"/>
  <c r="E27" i="26"/>
  <c r="G27" i="27"/>
  <c r="I27" i="27" s="1"/>
  <c r="I30" i="4"/>
  <c r="D27" i="22"/>
  <c r="E27" i="22"/>
  <c r="D26" i="13"/>
  <c r="E26" i="13" s="1"/>
  <c r="E27" i="20"/>
  <c r="F27" i="20" s="1"/>
  <c r="H26" i="20"/>
  <c r="G26" i="20"/>
  <c r="B27" i="20"/>
  <c r="D23" i="37"/>
  <c r="E23" i="37"/>
  <c r="I26" i="22"/>
  <c r="D28" i="21"/>
  <c r="E28" i="21"/>
  <c r="H25" i="13"/>
  <c r="D25" i="29"/>
  <c r="E25" i="29"/>
  <c r="D28" i="23"/>
  <c r="E28" i="23"/>
  <c r="D24" i="35"/>
  <c r="E24" i="35"/>
  <c r="G25" i="13"/>
  <c r="I23" i="34"/>
  <c r="F113" i="4"/>
  <c r="H113" i="4" s="1"/>
  <c r="B113" i="4"/>
  <c r="B112" i="18"/>
  <c r="F112" i="18"/>
  <c r="H112" i="18" s="1"/>
  <c r="G108" i="25"/>
  <c r="E109" i="25"/>
  <c r="D109" i="25"/>
  <c r="F106" i="35"/>
  <c r="H106" i="35" s="1"/>
  <c r="B106" i="35"/>
  <c r="B106" i="31"/>
  <c r="F106" i="31"/>
  <c r="H106" i="31" s="1"/>
  <c r="F109" i="26"/>
  <c r="H109" i="26" s="1"/>
  <c r="B109" i="26"/>
  <c r="B110" i="28"/>
  <c r="F105" i="37"/>
  <c r="H105" i="37" s="1"/>
  <c r="B105" i="37"/>
  <c r="B110" i="27"/>
  <c r="F110" i="27"/>
  <c r="H110" i="27" s="1"/>
  <c r="G112" i="19"/>
  <c r="D113" i="19"/>
  <c r="E113" i="19"/>
  <c r="I109" i="27"/>
  <c r="J111" i="19"/>
  <c r="I105" i="38"/>
  <c r="B106" i="38"/>
  <c r="F110" i="24"/>
  <c r="H110" i="24" s="1"/>
  <c r="B110" i="24"/>
  <c r="F110" i="21"/>
  <c r="H110" i="21" s="1"/>
  <c r="B110" i="21"/>
  <c r="B106" i="34"/>
  <c r="F106" i="34"/>
  <c r="H106" i="34" s="1"/>
  <c r="E106" i="38"/>
  <c r="F106" i="38" s="1"/>
  <c r="H106" i="38" s="1"/>
  <c r="J112" i="3"/>
  <c r="G109" i="22"/>
  <c r="D110" i="22"/>
  <c r="E110" i="22"/>
  <c r="J108" i="22"/>
  <c r="G106" i="20"/>
  <c r="D107" i="20"/>
  <c r="E107" i="20" s="1"/>
  <c r="E114" i="3"/>
  <c r="G113" i="3"/>
  <c r="D114" i="3"/>
  <c r="J105" i="20"/>
  <c r="J110" i="23" l="1"/>
  <c r="D119" i="42"/>
  <c r="E119" i="42" s="1"/>
  <c r="G118" i="42"/>
  <c r="D36" i="42"/>
  <c r="H33" i="28"/>
  <c r="G33" i="28"/>
  <c r="E34" i="28"/>
  <c r="F34" i="28" s="1"/>
  <c r="E112" i="23"/>
  <c r="F112" i="23" s="1"/>
  <c r="G111" i="23"/>
  <c r="I111" i="23" s="1"/>
  <c r="H111" i="23"/>
  <c r="J107" i="29"/>
  <c r="G108" i="29"/>
  <c r="I108" i="29" s="1"/>
  <c r="E109" i="29"/>
  <c r="H108" i="29"/>
  <c r="D109" i="29"/>
  <c r="H28" i="24"/>
  <c r="I28" i="24" s="1"/>
  <c r="D29" i="24"/>
  <c r="E29" i="24"/>
  <c r="J105" i="31"/>
  <c r="G106" i="13"/>
  <c r="D107" i="13"/>
  <c r="J105" i="13"/>
  <c r="I26" i="20"/>
  <c r="I25" i="25"/>
  <c r="B26" i="13"/>
  <c r="F26" i="13"/>
  <c r="G26" i="13" s="1"/>
  <c r="B24" i="34"/>
  <c r="F24" i="34"/>
  <c r="H24" i="34" s="1"/>
  <c r="D32" i="3"/>
  <c r="D33" i="3"/>
  <c r="E32" i="3"/>
  <c r="E33" i="3"/>
  <c r="I27" i="21"/>
  <c r="B23" i="37"/>
  <c r="F23" i="37"/>
  <c r="G23" i="37" s="1"/>
  <c r="B26" i="25"/>
  <c r="F26" i="25"/>
  <c r="G26" i="25" s="1"/>
  <c r="J111" i="18"/>
  <c r="I29" i="18"/>
  <c r="B22" i="38"/>
  <c r="F27" i="22"/>
  <c r="B27" i="22"/>
  <c r="F27" i="26"/>
  <c r="H27" i="26" s="1"/>
  <c r="B27" i="26"/>
  <c r="B30" i="18"/>
  <c r="F30" i="18"/>
  <c r="G30" i="18" s="1"/>
  <c r="I26" i="26"/>
  <c r="F25" i="29"/>
  <c r="G25" i="29" s="1"/>
  <c r="I25" i="13"/>
  <c r="B30" i="19"/>
  <c r="F30" i="19"/>
  <c r="B24" i="35"/>
  <c r="F24" i="35"/>
  <c r="H24" i="35" s="1"/>
  <c r="H31" i="3"/>
  <c r="B28" i="27"/>
  <c r="F28" i="27"/>
  <c r="H28" i="27" s="1"/>
  <c r="F24" i="31"/>
  <c r="H24" i="31" s="1"/>
  <c r="B24" i="31"/>
  <c r="B28" i="28"/>
  <c r="B28" i="21"/>
  <c r="F28" i="21"/>
  <c r="H28" i="21" s="1"/>
  <c r="I24" i="29"/>
  <c r="I27" i="28"/>
  <c r="B28" i="23"/>
  <c r="F28" i="23"/>
  <c r="G28" i="23" s="1"/>
  <c r="B28" i="20"/>
  <c r="E28" i="20"/>
  <c r="F28" i="20" s="1"/>
  <c r="G27" i="20"/>
  <c r="N5" i="20" s="1"/>
  <c r="H27" i="20"/>
  <c r="N6" i="20" s="1"/>
  <c r="G31" i="3"/>
  <c r="F31" i="4"/>
  <c r="G31" i="4" s="1"/>
  <c r="B31" i="4"/>
  <c r="J104" i="37"/>
  <c r="J112" i="4"/>
  <c r="G112" i="18"/>
  <c r="E113" i="18"/>
  <c r="D113" i="18"/>
  <c r="D114" i="4"/>
  <c r="G113" i="4"/>
  <c r="E114" i="4"/>
  <c r="E110" i="26"/>
  <c r="D110" i="26"/>
  <c r="G109" i="26"/>
  <c r="E107" i="31"/>
  <c r="D107" i="31"/>
  <c r="G106" i="31"/>
  <c r="E106" i="37"/>
  <c r="D106" i="37"/>
  <c r="G105" i="37"/>
  <c r="J108" i="26"/>
  <c r="J105" i="35"/>
  <c r="G106" i="35"/>
  <c r="D107" i="35"/>
  <c r="E107" i="35"/>
  <c r="F109" i="25"/>
  <c r="H109" i="25" s="1"/>
  <c r="B109" i="25"/>
  <c r="J109" i="28"/>
  <c r="I108" i="25"/>
  <c r="D107" i="38"/>
  <c r="G106" i="38"/>
  <c r="J105" i="38"/>
  <c r="J109" i="21"/>
  <c r="J105" i="34"/>
  <c r="D107" i="34"/>
  <c r="G106" i="34"/>
  <c r="E107" i="34"/>
  <c r="J109" i="27"/>
  <c r="F113" i="19"/>
  <c r="H113" i="19" s="1"/>
  <c r="B113" i="19"/>
  <c r="I112" i="19"/>
  <c r="J109" i="24"/>
  <c r="D111" i="24"/>
  <c r="G110" i="24"/>
  <c r="E111" i="24"/>
  <c r="D111" i="27"/>
  <c r="G110" i="27"/>
  <c r="E111" i="27"/>
  <c r="G110" i="21"/>
  <c r="D111" i="21"/>
  <c r="E111" i="21"/>
  <c r="I109" i="22"/>
  <c r="I106" i="20"/>
  <c r="H106" i="20"/>
  <c r="B114" i="3"/>
  <c r="F114" i="3"/>
  <c r="H114" i="3" s="1"/>
  <c r="F110" i="22"/>
  <c r="H110" i="22" s="1"/>
  <c r="B110" i="22"/>
  <c r="F107" i="20"/>
  <c r="B107" i="20"/>
  <c r="I113" i="3"/>
  <c r="N7" i="20" l="1"/>
  <c r="B36" i="42"/>
  <c r="E36" i="42"/>
  <c r="F36" i="42" s="1"/>
  <c r="F119" i="42"/>
  <c r="B119" i="42"/>
  <c r="H34" i="28"/>
  <c r="G34" i="28"/>
  <c r="E35" i="28"/>
  <c r="F35" i="28" s="1"/>
  <c r="G112" i="23"/>
  <c r="I112" i="23" s="1"/>
  <c r="H112" i="23"/>
  <c r="D113" i="23"/>
  <c r="E113" i="23"/>
  <c r="F109" i="29"/>
  <c r="E110" i="29" s="1"/>
  <c r="J111" i="23"/>
  <c r="J108" i="29"/>
  <c r="E107" i="38"/>
  <c r="F107" i="38" s="1"/>
  <c r="H107" i="38" s="1"/>
  <c r="B29" i="24"/>
  <c r="F29" i="24"/>
  <c r="H29" i="24" s="1"/>
  <c r="J113" i="3"/>
  <c r="E107" i="13"/>
  <c r="F107" i="13" s="1"/>
  <c r="B107" i="13"/>
  <c r="I106" i="13"/>
  <c r="H106" i="13"/>
  <c r="G24" i="31"/>
  <c r="I24" i="31" s="1"/>
  <c r="H31" i="4"/>
  <c r="I31" i="4" s="1"/>
  <c r="I28" i="28"/>
  <c r="G24" i="34"/>
  <c r="I24" i="34" s="1"/>
  <c r="H25" i="29"/>
  <c r="I25" i="29" s="1"/>
  <c r="I27" i="20"/>
  <c r="G24" i="35"/>
  <c r="I24" i="35" s="1"/>
  <c r="H28" i="23"/>
  <c r="I28" i="23" s="1"/>
  <c r="G27" i="26"/>
  <c r="I27" i="26" s="1"/>
  <c r="H26" i="13"/>
  <c r="I26" i="13" s="1"/>
  <c r="D23" i="38"/>
  <c r="E23" i="38"/>
  <c r="D29" i="27"/>
  <c r="E29" i="27"/>
  <c r="D31" i="19"/>
  <c r="E31" i="19"/>
  <c r="D27" i="25"/>
  <c r="E27" i="25"/>
  <c r="D29" i="21"/>
  <c r="E29" i="21"/>
  <c r="G28" i="27"/>
  <c r="I28" i="27" s="1"/>
  <c r="D28" i="26"/>
  <c r="E28" i="26"/>
  <c r="B33" i="3"/>
  <c r="F33" i="3"/>
  <c r="D27" i="13"/>
  <c r="E27" i="13" s="1"/>
  <c r="D32" i="4"/>
  <c r="E32" i="4"/>
  <c r="E33" i="4"/>
  <c r="H30" i="19"/>
  <c r="D24" i="37"/>
  <c r="E24" i="37"/>
  <c r="F32" i="3"/>
  <c r="H32" i="3" s="1"/>
  <c r="E29" i="23"/>
  <c r="D29" i="23"/>
  <c r="I31" i="3"/>
  <c r="G30" i="19"/>
  <c r="D31" i="18"/>
  <c r="E31" i="18"/>
  <c r="D28" i="22"/>
  <c r="E28" i="22"/>
  <c r="E29" i="20"/>
  <c r="F29" i="20" s="1"/>
  <c r="H28" i="20"/>
  <c r="G28" i="20"/>
  <c r="B29" i="20"/>
  <c r="G28" i="21"/>
  <c r="I28" i="21" s="1"/>
  <c r="H27" i="22"/>
  <c r="H23" i="37"/>
  <c r="D25" i="34"/>
  <c r="E25" i="34"/>
  <c r="D25" i="31"/>
  <c r="E25" i="31"/>
  <c r="D25" i="35"/>
  <c r="E25" i="35"/>
  <c r="D26" i="29"/>
  <c r="E26" i="29"/>
  <c r="H30" i="18"/>
  <c r="G27" i="22"/>
  <c r="H26" i="25"/>
  <c r="I26" i="25" s="1"/>
  <c r="I113" i="4"/>
  <c r="B113" i="18"/>
  <c r="F113" i="18"/>
  <c r="H113" i="18" s="1"/>
  <c r="I112" i="18"/>
  <c r="B114" i="4"/>
  <c r="F114" i="4"/>
  <c r="H114" i="4" s="1"/>
  <c r="B106" i="37"/>
  <c r="F106" i="37"/>
  <c r="H106" i="37" s="1"/>
  <c r="D110" i="25"/>
  <c r="G109" i="25"/>
  <c r="E110" i="25"/>
  <c r="J108" i="25"/>
  <c r="I106" i="31"/>
  <c r="F107" i="35"/>
  <c r="H107" i="35" s="1"/>
  <c r="B107" i="35"/>
  <c r="B107" i="31"/>
  <c r="F107" i="31"/>
  <c r="H107" i="31" s="1"/>
  <c r="I106" i="35"/>
  <c r="I109" i="26"/>
  <c r="B111" i="28"/>
  <c r="F110" i="26"/>
  <c r="H110" i="26" s="1"/>
  <c r="B110" i="26"/>
  <c r="I105" i="37"/>
  <c r="I110" i="27"/>
  <c r="B111" i="24"/>
  <c r="F111" i="24"/>
  <c r="H111" i="24" s="1"/>
  <c r="I106" i="34"/>
  <c r="B111" i="27"/>
  <c r="F111" i="27"/>
  <c r="H111" i="27" s="1"/>
  <c r="B107" i="34"/>
  <c r="F107" i="34"/>
  <c r="H107" i="34" s="1"/>
  <c r="J112" i="19"/>
  <c r="D114" i="19"/>
  <c r="G113" i="19"/>
  <c r="E114" i="19"/>
  <c r="J109" i="22"/>
  <c r="I106" i="38"/>
  <c r="B111" i="21"/>
  <c r="F111" i="21"/>
  <c r="H111" i="21" s="1"/>
  <c r="I110" i="24"/>
  <c r="I110" i="21"/>
  <c r="B107" i="38"/>
  <c r="G110" i="22"/>
  <c r="D111" i="22"/>
  <c r="E111" i="22"/>
  <c r="E115" i="3"/>
  <c r="G114" i="3"/>
  <c r="D115" i="3"/>
  <c r="G107" i="20"/>
  <c r="D108" i="20"/>
  <c r="E108" i="20" s="1"/>
  <c r="J106" i="20"/>
  <c r="F22" i="17"/>
  <c r="F41" i="17" l="1"/>
  <c r="G22" i="17"/>
  <c r="G41" i="17" s="1"/>
  <c r="D37" i="42"/>
  <c r="E37" i="42" s="1"/>
  <c r="D120" i="42"/>
  <c r="E120" i="42" s="1"/>
  <c r="G119" i="42"/>
  <c r="F113" i="23"/>
  <c r="D114" i="23" s="1"/>
  <c r="G109" i="29"/>
  <c r="I109" i="29" s="1"/>
  <c r="H109" i="29"/>
  <c r="H35" i="28"/>
  <c r="G35" i="28"/>
  <c r="E36" i="28"/>
  <c r="F36" i="28" s="1"/>
  <c r="J112" i="23"/>
  <c r="D110" i="29"/>
  <c r="F110" i="29" s="1"/>
  <c r="G110" i="29" s="1"/>
  <c r="I110" i="29" s="1"/>
  <c r="G29" i="24"/>
  <c r="I29" i="24" s="1"/>
  <c r="D30" i="24"/>
  <c r="E30" i="24"/>
  <c r="J106" i="13"/>
  <c r="J110" i="28"/>
  <c r="J106" i="35"/>
  <c r="D108" i="13"/>
  <c r="G107" i="13"/>
  <c r="I28" i="20"/>
  <c r="I30" i="19"/>
  <c r="F25" i="31"/>
  <c r="H25" i="31" s="1"/>
  <c r="B25" i="31"/>
  <c r="I23" i="37"/>
  <c r="B29" i="28"/>
  <c r="D34" i="3"/>
  <c r="E34" i="3"/>
  <c r="B29" i="21"/>
  <c r="F29" i="21"/>
  <c r="F29" i="27"/>
  <c r="G29" i="27" s="1"/>
  <c r="B29" i="27"/>
  <c r="I27" i="22"/>
  <c r="F28" i="22"/>
  <c r="B28" i="22"/>
  <c r="G32" i="3"/>
  <c r="I32" i="3" s="1"/>
  <c r="G33" i="3"/>
  <c r="F31" i="18"/>
  <c r="G31" i="18" s="1"/>
  <c r="B31" i="18"/>
  <c r="I22" i="38"/>
  <c r="F23" i="38"/>
  <c r="G23" i="38" s="1"/>
  <c r="B23" i="38"/>
  <c r="I30" i="18"/>
  <c r="F26" i="29"/>
  <c r="B32" i="4"/>
  <c r="F32" i="4"/>
  <c r="D33" i="4" s="1"/>
  <c r="B27" i="25"/>
  <c r="F27" i="25"/>
  <c r="B24" i="37"/>
  <c r="F24" i="37"/>
  <c r="G24" i="37" s="1"/>
  <c r="B27" i="13"/>
  <c r="F27" i="13"/>
  <c r="H27" i="13" s="1"/>
  <c r="F28" i="26"/>
  <c r="G28" i="26" s="1"/>
  <c r="B28" i="26"/>
  <c r="F25" i="35"/>
  <c r="H25" i="35" s="1"/>
  <c r="B25" i="35"/>
  <c r="B31" i="19"/>
  <c r="F31" i="19"/>
  <c r="H31" i="19" s="1"/>
  <c r="F25" i="34"/>
  <c r="H25" i="34" s="1"/>
  <c r="B25" i="34"/>
  <c r="G29" i="20"/>
  <c r="H29" i="20"/>
  <c r="B30" i="20"/>
  <c r="E30" i="20"/>
  <c r="F30" i="20" s="1"/>
  <c r="B29" i="23"/>
  <c r="F29" i="23"/>
  <c r="G29" i="23" s="1"/>
  <c r="H33" i="3"/>
  <c r="D115" i="4"/>
  <c r="E115" i="4"/>
  <c r="G114" i="4"/>
  <c r="J112" i="18"/>
  <c r="G113" i="18"/>
  <c r="D114" i="18"/>
  <c r="E114" i="18"/>
  <c r="J109" i="26"/>
  <c r="J113" i="4"/>
  <c r="J106" i="38"/>
  <c r="J105" i="37"/>
  <c r="J106" i="31"/>
  <c r="E108" i="31"/>
  <c r="G107" i="31"/>
  <c r="D108" i="31"/>
  <c r="I109" i="25"/>
  <c r="F110" i="25"/>
  <c r="H110" i="25" s="1"/>
  <c r="B110" i="25"/>
  <c r="D111" i="26"/>
  <c r="G110" i="26"/>
  <c r="E111" i="26"/>
  <c r="G106" i="37"/>
  <c r="E107" i="37"/>
  <c r="D107" i="37"/>
  <c r="J110" i="24"/>
  <c r="G107" i="35"/>
  <c r="D108" i="35"/>
  <c r="E108" i="35"/>
  <c r="J110" i="27"/>
  <c r="F114" i="19"/>
  <c r="H114" i="19" s="1"/>
  <c r="B114" i="19"/>
  <c r="J106" i="34"/>
  <c r="I113" i="19"/>
  <c r="D108" i="38"/>
  <c r="G107" i="38"/>
  <c r="G107" i="34"/>
  <c r="D108" i="34"/>
  <c r="E108" i="34"/>
  <c r="G111" i="24"/>
  <c r="D112" i="24"/>
  <c r="E112" i="24"/>
  <c r="D112" i="27"/>
  <c r="G111" i="27"/>
  <c r="E112" i="27"/>
  <c r="D112" i="21"/>
  <c r="G111" i="21"/>
  <c r="E112" i="21"/>
  <c r="J110" i="21"/>
  <c r="I107" i="20"/>
  <c r="H107" i="20"/>
  <c r="F115" i="3"/>
  <c r="H115" i="3" s="1"/>
  <c r="B115" i="3"/>
  <c r="I114" i="3"/>
  <c r="B111" i="22"/>
  <c r="F111" i="22"/>
  <c r="H111" i="22" s="1"/>
  <c r="B108" i="20"/>
  <c r="F108" i="20"/>
  <c r="I110" i="22"/>
  <c r="H113" i="23" l="1"/>
  <c r="G113" i="23"/>
  <c r="I113" i="23" s="1"/>
  <c r="F120" i="42"/>
  <c r="B120" i="42"/>
  <c r="F37" i="42"/>
  <c r="B37" i="42"/>
  <c r="E114" i="23"/>
  <c r="F114" i="23" s="1"/>
  <c r="H36" i="28"/>
  <c r="G36" i="28"/>
  <c r="E37" i="28"/>
  <c r="F37" i="28" s="1"/>
  <c r="E111" i="29"/>
  <c r="H110" i="29"/>
  <c r="J110" i="29" s="1"/>
  <c r="D111" i="29"/>
  <c r="E108" i="38"/>
  <c r="F108" i="38" s="1"/>
  <c r="H108" i="38" s="1"/>
  <c r="B30" i="24"/>
  <c r="F30" i="24"/>
  <c r="G30" i="24" s="1"/>
  <c r="J109" i="29"/>
  <c r="H28" i="26"/>
  <c r="I28" i="26" s="1"/>
  <c r="I107" i="13"/>
  <c r="H107" i="13"/>
  <c r="E108" i="13"/>
  <c r="F108" i="13" s="1"/>
  <c r="B108" i="13"/>
  <c r="I33" i="3"/>
  <c r="H29" i="23"/>
  <c r="I29" i="23" s="1"/>
  <c r="H24" i="37"/>
  <c r="I24" i="37" s="1"/>
  <c r="H23" i="38"/>
  <c r="I23" i="38" s="1"/>
  <c r="H31" i="18"/>
  <c r="I31" i="18" s="1"/>
  <c r="G25" i="31"/>
  <c r="I25" i="31" s="1"/>
  <c r="I29" i="20"/>
  <c r="I29" i="28"/>
  <c r="D27" i="29"/>
  <c r="E27" i="29"/>
  <c r="D32" i="19"/>
  <c r="E32" i="19"/>
  <c r="E33" i="19"/>
  <c r="G32" i="4"/>
  <c r="D29" i="22"/>
  <c r="E29" i="22"/>
  <c r="D30" i="21"/>
  <c r="E30" i="21"/>
  <c r="D29" i="26"/>
  <c r="E29" i="26"/>
  <c r="G28" i="22"/>
  <c r="G29" i="21"/>
  <c r="D28" i="13"/>
  <c r="D28" i="25"/>
  <c r="E28" i="25"/>
  <c r="D32" i="18"/>
  <c r="E33" i="18"/>
  <c r="E32" i="18"/>
  <c r="H32" i="4"/>
  <c r="H29" i="21"/>
  <c r="E30" i="23"/>
  <c r="D30" i="23"/>
  <c r="D26" i="34"/>
  <c r="E26" i="34"/>
  <c r="D26" i="35"/>
  <c r="E26" i="35"/>
  <c r="F34" i="3"/>
  <c r="B34" i="3"/>
  <c r="F33" i="4"/>
  <c r="H33" i="4" s="1"/>
  <c r="B33" i="4"/>
  <c r="G25" i="34"/>
  <c r="I25" i="34" s="1"/>
  <c r="G25" i="35"/>
  <c r="I25" i="35" s="1"/>
  <c r="G27" i="13"/>
  <c r="I27" i="13" s="1"/>
  <c r="G27" i="25"/>
  <c r="H26" i="29"/>
  <c r="D24" i="38"/>
  <c r="E24" i="38"/>
  <c r="D30" i="27"/>
  <c r="E30" i="27"/>
  <c r="G30" i="20"/>
  <c r="H30" i="20"/>
  <c r="B31" i="20"/>
  <c r="E31" i="20"/>
  <c r="F31" i="20" s="1"/>
  <c r="G31" i="19"/>
  <c r="I31" i="19" s="1"/>
  <c r="D25" i="37"/>
  <c r="E25" i="37"/>
  <c r="H27" i="25"/>
  <c r="G26" i="29"/>
  <c r="H28" i="22"/>
  <c r="H29" i="27"/>
  <c r="I29" i="27" s="1"/>
  <c r="D26" i="31"/>
  <c r="E26" i="31"/>
  <c r="F115" i="4"/>
  <c r="H115" i="4" s="1"/>
  <c r="B115" i="4"/>
  <c r="F114" i="18"/>
  <c r="H114" i="18" s="1"/>
  <c r="B114" i="18"/>
  <c r="I113" i="18"/>
  <c r="I114" i="4"/>
  <c r="J109" i="25"/>
  <c r="B112" i="28"/>
  <c r="B108" i="35"/>
  <c r="F108" i="35"/>
  <c r="H108" i="35" s="1"/>
  <c r="B108" i="31"/>
  <c r="F108" i="31"/>
  <c r="H108" i="31" s="1"/>
  <c r="I107" i="35"/>
  <c r="I107" i="31"/>
  <c r="I110" i="26"/>
  <c r="B111" i="26"/>
  <c r="F111" i="26"/>
  <c r="H111" i="26" s="1"/>
  <c r="B107" i="37"/>
  <c r="F107" i="37"/>
  <c r="H107" i="37" s="1"/>
  <c r="J113" i="19"/>
  <c r="I106" i="37"/>
  <c r="D111" i="25"/>
  <c r="G110" i="25"/>
  <c r="E111" i="25"/>
  <c r="I111" i="21"/>
  <c r="I107" i="34"/>
  <c r="B108" i="38"/>
  <c r="B112" i="21"/>
  <c r="F112" i="21"/>
  <c r="H112" i="21" s="1"/>
  <c r="I111" i="27"/>
  <c r="D115" i="19"/>
  <c r="G114" i="19"/>
  <c r="E115" i="19"/>
  <c r="B112" i="27"/>
  <c r="F112" i="27"/>
  <c r="H112" i="27" s="1"/>
  <c r="F112" i="24"/>
  <c r="H112" i="24" s="1"/>
  <c r="B112" i="24"/>
  <c r="I111" i="24"/>
  <c r="J114" i="3"/>
  <c r="B108" i="34"/>
  <c r="F108" i="34"/>
  <c r="H108" i="34" s="1"/>
  <c r="I107" i="38"/>
  <c r="G111" i="22"/>
  <c r="D112" i="22"/>
  <c r="E112" i="22"/>
  <c r="D116" i="3"/>
  <c r="G115" i="3"/>
  <c r="E116" i="3"/>
  <c r="J107" i="20"/>
  <c r="J110" i="22"/>
  <c r="G108" i="20"/>
  <c r="D109" i="20"/>
  <c r="E109" i="20" s="1"/>
  <c r="J113" i="23" l="1"/>
  <c r="D38" i="42"/>
  <c r="E38" i="42" s="1"/>
  <c r="G120" i="42"/>
  <c r="D121" i="42"/>
  <c r="E115" i="23"/>
  <c r="D115" i="23"/>
  <c r="H114" i="23"/>
  <c r="G114" i="23"/>
  <c r="I114" i="23" s="1"/>
  <c r="H37" i="28"/>
  <c r="G37" i="28"/>
  <c r="E38" i="28"/>
  <c r="F38" i="28" s="1"/>
  <c r="F111" i="29"/>
  <c r="D112" i="29" s="1"/>
  <c r="H30" i="24"/>
  <c r="I30" i="24" s="1"/>
  <c r="D31" i="24"/>
  <c r="E31" i="24"/>
  <c r="D109" i="13"/>
  <c r="G108" i="13"/>
  <c r="J107" i="13"/>
  <c r="I30" i="20"/>
  <c r="I28" i="22"/>
  <c r="I29" i="21"/>
  <c r="J114" i="4"/>
  <c r="D35" i="3"/>
  <c r="E35" i="3"/>
  <c r="F26" i="34"/>
  <c r="H26" i="34" s="1"/>
  <c r="B26" i="34"/>
  <c r="F32" i="18"/>
  <c r="D33" i="18" s="1"/>
  <c r="B32" i="18"/>
  <c r="B29" i="22"/>
  <c r="F29" i="22"/>
  <c r="H29" i="22" s="1"/>
  <c r="F24" i="38"/>
  <c r="H24" i="38" s="1"/>
  <c r="B24" i="38"/>
  <c r="D34" i="4"/>
  <c r="E34" i="4"/>
  <c r="F30" i="23"/>
  <c r="B30" i="23"/>
  <c r="J111" i="21"/>
  <c r="I27" i="25"/>
  <c r="I26" i="29"/>
  <c r="G33" i="4"/>
  <c r="I33" i="4" s="1"/>
  <c r="B28" i="25"/>
  <c r="F28" i="25"/>
  <c r="G28" i="25" s="1"/>
  <c r="B28" i="13"/>
  <c r="B29" i="26"/>
  <c r="F29" i="26"/>
  <c r="H29" i="26" s="1"/>
  <c r="B25" i="37"/>
  <c r="F25" i="37"/>
  <c r="H25" i="37" s="1"/>
  <c r="I32" i="4"/>
  <c r="E28" i="13"/>
  <c r="F28" i="13" s="1"/>
  <c r="J110" i="26"/>
  <c r="B30" i="28"/>
  <c r="G34" i="3"/>
  <c r="B32" i="19"/>
  <c r="F32" i="19"/>
  <c r="D33" i="19" s="1"/>
  <c r="B26" i="31"/>
  <c r="F26" i="31"/>
  <c r="G26" i="31" s="1"/>
  <c r="E32" i="20"/>
  <c r="F32" i="20" s="1"/>
  <c r="E33" i="20"/>
  <c r="F33" i="20" s="1"/>
  <c r="B32" i="20"/>
  <c r="H31" i="20"/>
  <c r="G31" i="20"/>
  <c r="H34" i="3"/>
  <c r="B26" i="35"/>
  <c r="F26" i="35"/>
  <c r="H26" i="35" s="1"/>
  <c r="F30" i="21"/>
  <c r="H30" i="21" s="1"/>
  <c r="B30" i="21"/>
  <c r="J113" i="18"/>
  <c r="B30" i="27"/>
  <c r="F30" i="27"/>
  <c r="H30" i="27" s="1"/>
  <c r="F27" i="29"/>
  <c r="H27" i="29" s="1"/>
  <c r="J107" i="31"/>
  <c r="D115" i="18"/>
  <c r="E115" i="18"/>
  <c r="G114" i="18"/>
  <c r="E116" i="4"/>
  <c r="G115" i="4"/>
  <c r="D116" i="4"/>
  <c r="D112" i="26"/>
  <c r="G111" i="26"/>
  <c r="E112" i="26"/>
  <c r="G108" i="31"/>
  <c r="E109" i="31"/>
  <c r="D109" i="31"/>
  <c r="I110" i="25"/>
  <c r="B111" i="25"/>
  <c r="F111" i="25"/>
  <c r="H111" i="25" s="1"/>
  <c r="J111" i="28"/>
  <c r="J106" i="37"/>
  <c r="D109" i="35"/>
  <c r="E109" i="35"/>
  <c r="G108" i="35"/>
  <c r="G107" i="37"/>
  <c r="D108" i="37"/>
  <c r="E108" i="37"/>
  <c r="J107" i="35"/>
  <c r="J107" i="38"/>
  <c r="J111" i="27"/>
  <c r="J111" i="24"/>
  <c r="F115" i="19"/>
  <c r="H115" i="19" s="1"/>
  <c r="B115" i="19"/>
  <c r="D109" i="34"/>
  <c r="G108" i="34"/>
  <c r="E109" i="34"/>
  <c r="D109" i="38"/>
  <c r="G108" i="38"/>
  <c r="J107" i="34"/>
  <c r="G112" i="24"/>
  <c r="D113" i="24"/>
  <c r="E113" i="24"/>
  <c r="D113" i="27"/>
  <c r="G112" i="27"/>
  <c r="E113" i="27"/>
  <c r="I114" i="19"/>
  <c r="G112" i="21"/>
  <c r="D113" i="21"/>
  <c r="E113" i="21"/>
  <c r="I108" i="20"/>
  <c r="H108" i="20"/>
  <c r="F109" i="20"/>
  <c r="B109" i="20"/>
  <c r="F112" i="22"/>
  <c r="H112" i="22" s="1"/>
  <c r="B112" i="22"/>
  <c r="B116" i="3"/>
  <c r="F116" i="3"/>
  <c r="H116" i="3" s="1"/>
  <c r="I111" i="22"/>
  <c r="I115" i="3"/>
  <c r="B121" i="42" l="1"/>
  <c r="E121" i="42"/>
  <c r="F121" i="42" s="1"/>
  <c r="F38" i="42"/>
  <c r="B38" i="42"/>
  <c r="J114" i="23"/>
  <c r="F115" i="23"/>
  <c r="H38" i="28"/>
  <c r="G38" i="28"/>
  <c r="E39" i="28"/>
  <c r="F39" i="28" s="1"/>
  <c r="G111" i="29"/>
  <c r="I111" i="29" s="1"/>
  <c r="E112" i="29"/>
  <c r="F112" i="29" s="1"/>
  <c r="G112" i="29" s="1"/>
  <c r="I112" i="29" s="1"/>
  <c r="H111" i="29"/>
  <c r="E109" i="38"/>
  <c r="F109" i="38" s="1"/>
  <c r="H109" i="38" s="1"/>
  <c r="B31" i="24"/>
  <c r="F31" i="24"/>
  <c r="G31" i="24" s="1"/>
  <c r="G26" i="34"/>
  <c r="I26" i="34" s="1"/>
  <c r="H108" i="13"/>
  <c r="I108" i="13"/>
  <c r="E109" i="13"/>
  <c r="F109" i="13" s="1"/>
  <c r="B109" i="13"/>
  <c r="G25" i="37"/>
  <c r="I25" i="37" s="1"/>
  <c r="G29" i="26"/>
  <c r="I29" i="26" s="1"/>
  <c r="I34" i="3"/>
  <c r="G30" i="21"/>
  <c r="I30" i="21" s="1"/>
  <c r="I31" i="20"/>
  <c r="G32" i="19"/>
  <c r="D29" i="13"/>
  <c r="E29" i="13" s="1"/>
  <c r="H28" i="13"/>
  <c r="G28" i="13"/>
  <c r="G26" i="35"/>
  <c r="I26" i="35" s="1"/>
  <c r="G32" i="18"/>
  <c r="D27" i="31"/>
  <c r="E27" i="31"/>
  <c r="D31" i="23"/>
  <c r="E31" i="23"/>
  <c r="D25" i="38"/>
  <c r="E25" i="38"/>
  <c r="B33" i="18"/>
  <c r="F33" i="18"/>
  <c r="G33" i="18" s="1"/>
  <c r="D28" i="29"/>
  <c r="E28" i="29"/>
  <c r="H26" i="31"/>
  <c r="I26" i="31" s="1"/>
  <c r="H30" i="23"/>
  <c r="G27" i="29"/>
  <c r="I27" i="29" s="1"/>
  <c r="D26" i="37"/>
  <c r="E26" i="37"/>
  <c r="G30" i="23"/>
  <c r="D30" i="22"/>
  <c r="E30" i="22"/>
  <c r="D31" i="27"/>
  <c r="E31" i="27"/>
  <c r="B33" i="19"/>
  <c r="F33" i="19"/>
  <c r="G33" i="19" s="1"/>
  <c r="I30" i="28"/>
  <c r="G29" i="22"/>
  <c r="I29" i="22" s="1"/>
  <c r="G30" i="27"/>
  <c r="I30" i="27" s="1"/>
  <c r="D31" i="21"/>
  <c r="E31" i="21"/>
  <c r="F34" i="4"/>
  <c r="H34" i="4" s="1"/>
  <c r="B34" i="4"/>
  <c r="D27" i="34"/>
  <c r="E27" i="34"/>
  <c r="D27" i="35"/>
  <c r="E27" i="35"/>
  <c r="E34" i="20"/>
  <c r="F34" i="20" s="1"/>
  <c r="B34" i="20"/>
  <c r="H33" i="20"/>
  <c r="G33" i="20"/>
  <c r="D29" i="25"/>
  <c r="E29" i="25"/>
  <c r="G32" i="20"/>
  <c r="H32" i="20"/>
  <c r="B33" i="20"/>
  <c r="H32" i="19"/>
  <c r="D30" i="26"/>
  <c r="E30" i="26"/>
  <c r="H28" i="25"/>
  <c r="I28" i="25" s="1"/>
  <c r="G24" i="38"/>
  <c r="I24" i="38" s="1"/>
  <c r="H32" i="18"/>
  <c r="F35" i="3"/>
  <c r="H35" i="3" s="1"/>
  <c r="B35" i="3"/>
  <c r="J110" i="25"/>
  <c r="B116" i="4"/>
  <c r="F116" i="4"/>
  <c r="H116" i="4" s="1"/>
  <c r="I115" i="4"/>
  <c r="I114" i="18"/>
  <c r="B115" i="18"/>
  <c r="F115" i="18"/>
  <c r="H115" i="18" s="1"/>
  <c r="I107" i="37"/>
  <c r="I108" i="35"/>
  <c r="B109" i="31"/>
  <c r="F109" i="31"/>
  <c r="H109" i="31" s="1"/>
  <c r="B113" i="28"/>
  <c r="B109" i="35"/>
  <c r="F109" i="35"/>
  <c r="H109" i="35" s="1"/>
  <c r="I108" i="31"/>
  <c r="G111" i="25"/>
  <c r="D112" i="25"/>
  <c r="E112" i="25"/>
  <c r="I111" i="26"/>
  <c r="F108" i="37"/>
  <c r="H108" i="37" s="1"/>
  <c r="B108" i="37"/>
  <c r="F112" i="26"/>
  <c r="H112" i="26" s="1"/>
  <c r="B112" i="26"/>
  <c r="J115" i="3"/>
  <c r="J114" i="19"/>
  <c r="B113" i="24"/>
  <c r="F113" i="24"/>
  <c r="H113" i="24" s="1"/>
  <c r="J111" i="22"/>
  <c r="I112" i="24"/>
  <c r="B109" i="38"/>
  <c r="D116" i="19"/>
  <c r="G115" i="19"/>
  <c r="E116" i="19"/>
  <c r="I112" i="27"/>
  <c r="F113" i="27"/>
  <c r="H113" i="27" s="1"/>
  <c r="B113" i="27"/>
  <c r="B113" i="21"/>
  <c r="F113" i="21"/>
  <c r="H113" i="21" s="1"/>
  <c r="I108" i="34"/>
  <c r="I112" i="21"/>
  <c r="I108" i="38"/>
  <c r="B109" i="34"/>
  <c r="F109" i="34"/>
  <c r="H109" i="34" s="1"/>
  <c r="G112" i="22"/>
  <c r="D113" i="22"/>
  <c r="E113" i="22"/>
  <c r="D117" i="3"/>
  <c r="G116" i="3"/>
  <c r="E117" i="3"/>
  <c r="G109" i="20"/>
  <c r="D110" i="20"/>
  <c r="E110" i="20" s="1"/>
  <c r="J108" i="20"/>
  <c r="G121" i="42" l="1"/>
  <c r="D122" i="42"/>
  <c r="E122" i="42" s="1"/>
  <c r="D39" i="42"/>
  <c r="E39" i="42" s="1"/>
  <c r="E116" i="23"/>
  <c r="D116" i="23"/>
  <c r="H115" i="23"/>
  <c r="G115" i="23"/>
  <c r="I115" i="23" s="1"/>
  <c r="H112" i="29"/>
  <c r="J112" i="29" s="1"/>
  <c r="H39" i="28"/>
  <c r="G39" i="28"/>
  <c r="E40" i="28"/>
  <c r="F40" i="28" s="1"/>
  <c r="J111" i="29"/>
  <c r="D113" i="29"/>
  <c r="E113" i="29"/>
  <c r="I32" i="19"/>
  <c r="G35" i="3"/>
  <c r="I35" i="3" s="1"/>
  <c r="J108" i="13"/>
  <c r="H31" i="24"/>
  <c r="I31" i="24" s="1"/>
  <c r="D32" i="24"/>
  <c r="E32" i="24"/>
  <c r="G109" i="13"/>
  <c r="D110" i="13"/>
  <c r="I33" i="20"/>
  <c r="I30" i="23"/>
  <c r="I32" i="18"/>
  <c r="F29" i="25"/>
  <c r="G29" i="25" s="1"/>
  <c r="B29" i="25"/>
  <c r="H33" i="18"/>
  <c r="I33" i="18" s="1"/>
  <c r="B27" i="34"/>
  <c r="F27" i="34"/>
  <c r="G27" i="34" s="1"/>
  <c r="B31" i="28"/>
  <c r="B30" i="26"/>
  <c r="F30" i="26"/>
  <c r="B31" i="27"/>
  <c r="F31" i="27"/>
  <c r="G31" i="27" s="1"/>
  <c r="B25" i="38"/>
  <c r="F25" i="38"/>
  <c r="G25" i="38" s="1"/>
  <c r="J108" i="31"/>
  <c r="J114" i="18"/>
  <c r="F26" i="37"/>
  <c r="G26" i="37" s="1"/>
  <c r="B26" i="37"/>
  <c r="I28" i="13"/>
  <c r="B35" i="20"/>
  <c r="H34" i="20"/>
  <c r="G34" i="20"/>
  <c r="E35" i="20"/>
  <c r="F35" i="20" s="1"/>
  <c r="D35" i="4"/>
  <c r="E35" i="4"/>
  <c r="D34" i="19"/>
  <c r="E34" i="19"/>
  <c r="F30" i="22"/>
  <c r="H30" i="22" s="1"/>
  <c r="B30" i="22"/>
  <c r="F28" i="29"/>
  <c r="H28" i="29" s="1"/>
  <c r="F31" i="23"/>
  <c r="B31" i="23"/>
  <c r="J108" i="35"/>
  <c r="J115" i="4"/>
  <c r="D36" i="3"/>
  <c r="E36" i="3"/>
  <c r="I32" i="20"/>
  <c r="G34" i="4"/>
  <c r="I34" i="4" s="1"/>
  <c r="H33" i="19"/>
  <c r="I33" i="19" s="1"/>
  <c r="B29" i="13"/>
  <c r="F29" i="13"/>
  <c r="H29" i="13" s="1"/>
  <c r="B27" i="35"/>
  <c r="F27" i="35"/>
  <c r="H27" i="35" s="1"/>
  <c r="D34" i="18"/>
  <c r="E34" i="18"/>
  <c r="F27" i="31"/>
  <c r="H27" i="31" s="1"/>
  <c r="B27" i="31"/>
  <c r="B31" i="21"/>
  <c r="F31" i="21"/>
  <c r="H31" i="21" s="1"/>
  <c r="D117" i="4"/>
  <c r="G116" i="4"/>
  <c r="E117" i="4"/>
  <c r="G115" i="18"/>
  <c r="D116" i="18"/>
  <c r="E116" i="18"/>
  <c r="J108" i="38"/>
  <c r="B112" i="25"/>
  <c r="F112" i="25"/>
  <c r="H112" i="25" s="1"/>
  <c r="G112" i="26"/>
  <c r="D113" i="26"/>
  <c r="E113" i="26"/>
  <c r="E110" i="31"/>
  <c r="D110" i="31"/>
  <c r="G109" i="31"/>
  <c r="D109" i="37"/>
  <c r="G108" i="37"/>
  <c r="E109" i="37"/>
  <c r="I111" i="25"/>
  <c r="J112" i="28"/>
  <c r="J111" i="26"/>
  <c r="D110" i="35"/>
  <c r="E110" i="35"/>
  <c r="G109" i="35"/>
  <c r="J107" i="37"/>
  <c r="J112" i="27"/>
  <c r="D114" i="21"/>
  <c r="G113" i="21"/>
  <c r="E114" i="21"/>
  <c r="I115" i="19"/>
  <c r="F116" i="19"/>
  <c r="H116" i="19" s="1"/>
  <c r="B116" i="19"/>
  <c r="G109" i="34"/>
  <c r="D110" i="34"/>
  <c r="E110" i="34"/>
  <c r="J108" i="34"/>
  <c r="D114" i="27"/>
  <c r="G113" i="27"/>
  <c r="E114" i="27"/>
  <c r="G109" i="38"/>
  <c r="D110" i="38"/>
  <c r="J112" i="24"/>
  <c r="G113" i="24"/>
  <c r="D114" i="24"/>
  <c r="E114" i="24"/>
  <c r="J112" i="21"/>
  <c r="I116" i="3"/>
  <c r="B110" i="20"/>
  <c r="F110" i="20"/>
  <c r="B113" i="22"/>
  <c r="F113" i="22"/>
  <c r="H113" i="22" s="1"/>
  <c r="H109" i="20"/>
  <c r="I109" i="20"/>
  <c r="I112" i="22"/>
  <c r="F117" i="3"/>
  <c r="H117" i="3" s="1"/>
  <c r="B117" i="3"/>
  <c r="B122" i="42" l="1"/>
  <c r="F122" i="42"/>
  <c r="J115" i="23"/>
  <c r="F39" i="42"/>
  <c r="B39" i="42"/>
  <c r="F116" i="23"/>
  <c r="F113" i="29"/>
  <c r="E114" i="29" s="1"/>
  <c r="H40" i="28"/>
  <c r="G40" i="28"/>
  <c r="E41" i="28"/>
  <c r="F41" i="28" s="1"/>
  <c r="E110" i="38"/>
  <c r="F110" i="38" s="1"/>
  <c r="H110" i="38" s="1"/>
  <c r="B32" i="24"/>
  <c r="F32" i="24"/>
  <c r="H32" i="24" s="1"/>
  <c r="G27" i="35"/>
  <c r="I27" i="35" s="1"/>
  <c r="J115" i="19"/>
  <c r="E110" i="13"/>
  <c r="F110" i="13" s="1"/>
  <c r="B110" i="13"/>
  <c r="I109" i="13"/>
  <c r="H109" i="13"/>
  <c r="G29" i="13"/>
  <c r="I29" i="13" s="1"/>
  <c r="G28" i="29"/>
  <c r="I28" i="29" s="1"/>
  <c r="I31" i="28"/>
  <c r="G30" i="22"/>
  <c r="I30" i="22" s="1"/>
  <c r="F35" i="4"/>
  <c r="G35" i="4" s="1"/>
  <c r="B35" i="4"/>
  <c r="G35" i="20"/>
  <c r="E36" i="20"/>
  <c r="F36" i="20" s="1"/>
  <c r="B36" i="20"/>
  <c r="H35" i="20"/>
  <c r="D27" i="37"/>
  <c r="E27" i="37"/>
  <c r="D32" i="27"/>
  <c r="E32" i="27"/>
  <c r="D32" i="21"/>
  <c r="E32" i="21"/>
  <c r="E33" i="21"/>
  <c r="B34" i="18"/>
  <c r="F34" i="18"/>
  <c r="H34" i="18" s="1"/>
  <c r="D32" i="23"/>
  <c r="E32" i="23"/>
  <c r="I34" i="20"/>
  <c r="H31" i="27"/>
  <c r="I31" i="27" s="1"/>
  <c r="H29" i="25"/>
  <c r="I29" i="25" s="1"/>
  <c r="G31" i="21"/>
  <c r="I31" i="21" s="1"/>
  <c r="D28" i="35"/>
  <c r="E28" i="35"/>
  <c r="H31" i="23"/>
  <c r="D31" i="22"/>
  <c r="E31" i="22"/>
  <c r="H25" i="38"/>
  <c r="I25" i="38" s="1"/>
  <c r="D31" i="26"/>
  <c r="E31" i="26"/>
  <c r="G31" i="23"/>
  <c r="H30" i="26"/>
  <c r="D28" i="34"/>
  <c r="E28" i="34"/>
  <c r="D28" i="31"/>
  <c r="E28" i="31"/>
  <c r="B34" i="19"/>
  <c r="F34" i="19"/>
  <c r="H34" i="19" s="1"/>
  <c r="D26" i="38"/>
  <c r="E26" i="38"/>
  <c r="D30" i="25"/>
  <c r="E30" i="25"/>
  <c r="G27" i="31"/>
  <c r="I27" i="31" s="1"/>
  <c r="D30" i="13"/>
  <c r="E30" i="13" s="1"/>
  <c r="F36" i="3"/>
  <c r="H36" i="3" s="1"/>
  <c r="B36" i="3"/>
  <c r="D29" i="29"/>
  <c r="E29" i="29"/>
  <c r="H26" i="37"/>
  <c r="I26" i="37" s="1"/>
  <c r="G30" i="26"/>
  <c r="H27" i="34"/>
  <c r="I27" i="34" s="1"/>
  <c r="B116" i="18"/>
  <c r="F116" i="18"/>
  <c r="H116" i="18" s="1"/>
  <c r="I115" i="18"/>
  <c r="I116" i="4"/>
  <c r="F117" i="4"/>
  <c r="H117" i="4" s="1"/>
  <c r="B117" i="4"/>
  <c r="B113" i="26"/>
  <c r="F113" i="26"/>
  <c r="H113" i="26" s="1"/>
  <c r="I112" i="26"/>
  <c r="I109" i="35"/>
  <c r="I108" i="37"/>
  <c r="F109" i="37"/>
  <c r="H109" i="37" s="1"/>
  <c r="B109" i="37"/>
  <c r="B114" i="28"/>
  <c r="F110" i="35"/>
  <c r="H110" i="35" s="1"/>
  <c r="B110" i="35"/>
  <c r="I109" i="31"/>
  <c r="B110" i="31"/>
  <c r="F110" i="31"/>
  <c r="H110" i="31" s="1"/>
  <c r="G112" i="25"/>
  <c r="D113" i="25"/>
  <c r="E113" i="25"/>
  <c r="J109" i="20"/>
  <c r="J116" i="3"/>
  <c r="J111" i="25"/>
  <c r="B110" i="38"/>
  <c r="I109" i="38"/>
  <c r="F110" i="34"/>
  <c r="H110" i="34" s="1"/>
  <c r="B110" i="34"/>
  <c r="B114" i="27"/>
  <c r="F114" i="27"/>
  <c r="H114" i="27" s="1"/>
  <c r="I109" i="34"/>
  <c r="I113" i="21"/>
  <c r="I113" i="24"/>
  <c r="B114" i="24"/>
  <c r="F114" i="24"/>
  <c r="H114" i="24" s="1"/>
  <c r="I113" i="27"/>
  <c r="D117" i="19"/>
  <c r="G116" i="19"/>
  <c r="E117" i="19"/>
  <c r="F114" i="21"/>
  <c r="H114" i="21" s="1"/>
  <c r="B114" i="21"/>
  <c r="J112" i="22"/>
  <c r="D114" i="22"/>
  <c r="G113" i="22"/>
  <c r="E114" i="22"/>
  <c r="D111" i="20"/>
  <c r="E111" i="20" s="1"/>
  <c r="G110" i="20"/>
  <c r="G117" i="3"/>
  <c r="E118" i="3"/>
  <c r="D118" i="3"/>
  <c r="D40" i="42" l="1"/>
  <c r="E40" i="42" s="1"/>
  <c r="G122" i="42"/>
  <c r="D123" i="42"/>
  <c r="G116" i="23"/>
  <c r="I116" i="23" s="1"/>
  <c r="D117" i="23"/>
  <c r="E117" i="23"/>
  <c r="H116" i="23"/>
  <c r="D114" i="29"/>
  <c r="F114" i="29" s="1"/>
  <c r="G114" i="29" s="1"/>
  <c r="I114" i="29" s="1"/>
  <c r="H113" i="29"/>
  <c r="G113" i="29"/>
  <c r="I113" i="29" s="1"/>
  <c r="H41" i="28"/>
  <c r="G41" i="28"/>
  <c r="E42" i="28"/>
  <c r="F42" i="28" s="1"/>
  <c r="G32" i="24"/>
  <c r="I32" i="24" s="1"/>
  <c r="D33" i="24"/>
  <c r="E33" i="24"/>
  <c r="J109" i="13"/>
  <c r="D111" i="13"/>
  <c r="G110" i="13"/>
  <c r="H35" i="4"/>
  <c r="I35" i="4" s="1"/>
  <c r="G36" i="3"/>
  <c r="I36" i="3" s="1"/>
  <c r="G34" i="19"/>
  <c r="I34" i="19" s="1"/>
  <c r="I31" i="23"/>
  <c r="F30" i="25"/>
  <c r="G30" i="25" s="1"/>
  <c r="B30" i="25"/>
  <c r="B28" i="31"/>
  <c r="F28" i="31"/>
  <c r="H28" i="31" s="1"/>
  <c r="B32" i="28"/>
  <c r="F31" i="22"/>
  <c r="B31" i="22"/>
  <c r="D35" i="18"/>
  <c r="E35" i="18"/>
  <c r="B26" i="38"/>
  <c r="F26" i="38"/>
  <c r="G26" i="38" s="1"/>
  <c r="B28" i="34"/>
  <c r="F28" i="34"/>
  <c r="H28" i="34" s="1"/>
  <c r="B32" i="23"/>
  <c r="F32" i="23"/>
  <c r="H32" i="23" s="1"/>
  <c r="F32" i="27"/>
  <c r="H32" i="27" s="1"/>
  <c r="B32" i="27"/>
  <c r="D37" i="3"/>
  <c r="E37" i="3"/>
  <c r="I30" i="26"/>
  <c r="G34" i="18"/>
  <c r="I34" i="18" s="1"/>
  <c r="B28" i="35"/>
  <c r="F28" i="35"/>
  <c r="G28" i="35" s="1"/>
  <c r="B27" i="37"/>
  <c r="F27" i="37"/>
  <c r="D36" i="4"/>
  <c r="E36" i="4"/>
  <c r="J116" i="4"/>
  <c r="F30" i="13"/>
  <c r="G30" i="13" s="1"/>
  <c r="B30" i="13"/>
  <c r="D35" i="19"/>
  <c r="E35" i="19"/>
  <c r="I35" i="20"/>
  <c r="F31" i="26"/>
  <c r="H31" i="26" s="1"/>
  <c r="B31" i="26"/>
  <c r="F32" i="21"/>
  <c r="D33" i="21" s="1"/>
  <c r="B32" i="21"/>
  <c r="J112" i="26"/>
  <c r="J115" i="18"/>
  <c r="F29" i="29"/>
  <c r="H36" i="20"/>
  <c r="E37" i="20"/>
  <c r="F37" i="20" s="1"/>
  <c r="G36" i="20"/>
  <c r="B37" i="20"/>
  <c r="J108" i="37"/>
  <c r="D118" i="4"/>
  <c r="G117" i="4"/>
  <c r="E118" i="4"/>
  <c r="J113" i="28"/>
  <c r="D117" i="18"/>
  <c r="G116" i="18"/>
  <c r="E117" i="18"/>
  <c r="J109" i="31"/>
  <c r="F113" i="25"/>
  <c r="H113" i="25" s="1"/>
  <c r="B113" i="25"/>
  <c r="J109" i="38"/>
  <c r="I112" i="25"/>
  <c r="D111" i="35"/>
  <c r="G110" i="35"/>
  <c r="E111" i="35"/>
  <c r="J109" i="35"/>
  <c r="G110" i="31"/>
  <c r="E111" i="31"/>
  <c r="D111" i="31"/>
  <c r="G113" i="26"/>
  <c r="E114" i="26"/>
  <c r="D114" i="26"/>
  <c r="J113" i="21"/>
  <c r="D110" i="37"/>
  <c r="G109" i="37"/>
  <c r="E110" i="37"/>
  <c r="J109" i="34"/>
  <c r="G114" i="21"/>
  <c r="D115" i="21"/>
  <c r="E115" i="21"/>
  <c r="J113" i="27"/>
  <c r="J113" i="24"/>
  <c r="D115" i="24"/>
  <c r="G114" i="24"/>
  <c r="E115" i="24"/>
  <c r="D115" i="27"/>
  <c r="G114" i="27"/>
  <c r="E115" i="27"/>
  <c r="I116" i="19"/>
  <c r="B117" i="19"/>
  <c r="F117" i="19"/>
  <c r="H117" i="19" s="1"/>
  <c r="D111" i="38"/>
  <c r="G110" i="38"/>
  <c r="G110" i="34"/>
  <c r="D111" i="34"/>
  <c r="E111" i="34"/>
  <c r="I113" i="22"/>
  <c r="I117" i="3"/>
  <c r="B114" i="22"/>
  <c r="F114" i="22"/>
  <c r="H114" i="22" s="1"/>
  <c r="B111" i="20"/>
  <c r="F111" i="20"/>
  <c r="I110" i="20"/>
  <c r="H110" i="20"/>
  <c r="F118" i="3"/>
  <c r="H118" i="3" s="1"/>
  <c r="B118" i="3"/>
  <c r="J116" i="23" l="1"/>
  <c r="H114" i="29"/>
  <c r="J114" i="29" s="1"/>
  <c r="D115" i="29"/>
  <c r="B123" i="42"/>
  <c r="E123" i="42"/>
  <c r="F123" i="42" s="1"/>
  <c r="F40" i="42"/>
  <c r="B40" i="42"/>
  <c r="F117" i="23"/>
  <c r="E115" i="29"/>
  <c r="J113" i="29"/>
  <c r="H42" i="28"/>
  <c r="G42" i="28"/>
  <c r="E43" i="28"/>
  <c r="F43" i="28" s="1"/>
  <c r="E111" i="38"/>
  <c r="F111" i="38" s="1"/>
  <c r="H111" i="38" s="1"/>
  <c r="F33" i="24"/>
  <c r="H33" i="24" s="1"/>
  <c r="B33" i="24"/>
  <c r="G32" i="27"/>
  <c r="I32" i="27" s="1"/>
  <c r="J112" i="25"/>
  <c r="I110" i="13"/>
  <c r="H110" i="13"/>
  <c r="E111" i="13"/>
  <c r="F111" i="13" s="1"/>
  <c r="B111" i="13"/>
  <c r="G31" i="26"/>
  <c r="I31" i="26" s="1"/>
  <c r="G28" i="31"/>
  <c r="I28" i="31" s="1"/>
  <c r="G32" i="23"/>
  <c r="I32" i="23" s="1"/>
  <c r="D31" i="13"/>
  <c r="E31" i="13" s="1"/>
  <c r="D28" i="37"/>
  <c r="E28" i="37"/>
  <c r="D32" i="26"/>
  <c r="E32" i="26"/>
  <c r="D27" i="38"/>
  <c r="E27" i="38"/>
  <c r="D32" i="22"/>
  <c r="E33" i="22"/>
  <c r="E32" i="22"/>
  <c r="B38" i="20"/>
  <c r="G37" i="20"/>
  <c r="E38" i="20"/>
  <c r="F38" i="20" s="1"/>
  <c r="H37" i="20"/>
  <c r="D33" i="23"/>
  <c r="E33" i="23"/>
  <c r="I36" i="20"/>
  <c r="H32" i="21"/>
  <c r="F37" i="3"/>
  <c r="G37" i="3" s="1"/>
  <c r="B37" i="3"/>
  <c r="H26" i="38"/>
  <c r="I26" i="38" s="1"/>
  <c r="H30" i="25"/>
  <c r="I30" i="25" s="1"/>
  <c r="G32" i="21"/>
  <c r="D29" i="35"/>
  <c r="E29" i="35"/>
  <c r="G28" i="34"/>
  <c r="I28" i="34" s="1"/>
  <c r="D30" i="29"/>
  <c r="E30" i="29"/>
  <c r="B33" i="21"/>
  <c r="F33" i="21"/>
  <c r="G33" i="21" s="1"/>
  <c r="B35" i="19"/>
  <c r="F35" i="19"/>
  <c r="G35" i="19" s="1"/>
  <c r="B36" i="4"/>
  <c r="F36" i="4"/>
  <c r="G36" i="4" s="1"/>
  <c r="H28" i="35"/>
  <c r="I28" i="35" s="1"/>
  <c r="B35" i="18"/>
  <c r="F35" i="18"/>
  <c r="G35" i="18" s="1"/>
  <c r="I32" i="28"/>
  <c r="G29" i="29"/>
  <c r="H30" i="13"/>
  <c r="I30" i="13" s="1"/>
  <c r="G27" i="37"/>
  <c r="D29" i="34"/>
  <c r="E29" i="34"/>
  <c r="G31" i="22"/>
  <c r="D31" i="25"/>
  <c r="E31" i="25"/>
  <c r="H29" i="29"/>
  <c r="H27" i="37"/>
  <c r="D33" i="27"/>
  <c r="E33" i="27"/>
  <c r="H31" i="22"/>
  <c r="D29" i="31"/>
  <c r="E29" i="31"/>
  <c r="B117" i="18"/>
  <c r="F117" i="18"/>
  <c r="H117" i="18" s="1"/>
  <c r="I116" i="18"/>
  <c r="I117" i="4"/>
  <c r="B118" i="4"/>
  <c r="F118" i="4"/>
  <c r="H118" i="4" s="1"/>
  <c r="J116" i="19"/>
  <c r="I110" i="35"/>
  <c r="F111" i="35"/>
  <c r="H111" i="35" s="1"/>
  <c r="B111" i="35"/>
  <c r="I109" i="37"/>
  <c r="B115" i="28"/>
  <c r="F110" i="37"/>
  <c r="H110" i="37" s="1"/>
  <c r="B110" i="37"/>
  <c r="F111" i="31"/>
  <c r="H111" i="31" s="1"/>
  <c r="B111" i="31"/>
  <c r="F114" i="26"/>
  <c r="H114" i="26" s="1"/>
  <c r="B114" i="26"/>
  <c r="I110" i="31"/>
  <c r="G113" i="25"/>
  <c r="E114" i="25"/>
  <c r="D114" i="25"/>
  <c r="J117" i="3"/>
  <c r="I113" i="26"/>
  <c r="I110" i="34"/>
  <c r="I114" i="24"/>
  <c r="I110" i="38"/>
  <c r="I114" i="27"/>
  <c r="B115" i="24"/>
  <c r="F115" i="24"/>
  <c r="H115" i="24" s="1"/>
  <c r="B111" i="38"/>
  <c r="F115" i="27"/>
  <c r="H115" i="27" s="1"/>
  <c r="B115" i="27"/>
  <c r="F115" i="21"/>
  <c r="H115" i="21" s="1"/>
  <c r="B115" i="21"/>
  <c r="J113" i="22"/>
  <c r="I114" i="21"/>
  <c r="G117" i="19"/>
  <c r="D118" i="19"/>
  <c r="E118" i="19"/>
  <c r="B111" i="34"/>
  <c r="F111" i="34"/>
  <c r="H111" i="34" s="1"/>
  <c r="G111" i="20"/>
  <c r="D112" i="20"/>
  <c r="E119" i="3"/>
  <c r="G118" i="3"/>
  <c r="D119" i="3"/>
  <c r="D115" i="22"/>
  <c r="E115" i="22"/>
  <c r="G114" i="22"/>
  <c r="J110" i="20"/>
  <c r="F115" i="29" l="1"/>
  <c r="G115" i="29" s="1"/>
  <c r="I115" i="29" s="1"/>
  <c r="D124" i="42"/>
  <c r="E124" i="42" s="1"/>
  <c r="G123" i="42"/>
  <c r="D41" i="42"/>
  <c r="E41" i="42" s="1"/>
  <c r="G117" i="23"/>
  <c r="I117" i="23" s="1"/>
  <c r="H117" i="23"/>
  <c r="D118" i="23"/>
  <c r="E118" i="23"/>
  <c r="H43" i="28"/>
  <c r="G43" i="28"/>
  <c r="E44" i="28"/>
  <c r="F44" i="28" s="1"/>
  <c r="I29" i="29"/>
  <c r="G33" i="24"/>
  <c r="I33" i="24" s="1"/>
  <c r="D34" i="24"/>
  <c r="E34" i="24"/>
  <c r="D112" i="13"/>
  <c r="G111" i="13"/>
  <c r="J110" i="13"/>
  <c r="I37" i="20"/>
  <c r="J117" i="4"/>
  <c r="I31" i="22"/>
  <c r="I32" i="21"/>
  <c r="B29" i="31"/>
  <c r="F29" i="31"/>
  <c r="G29" i="31" s="1"/>
  <c r="F27" i="38"/>
  <c r="H27" i="38" s="1"/>
  <c r="B27" i="38"/>
  <c r="D36" i="18"/>
  <c r="E36" i="18"/>
  <c r="D36" i="19"/>
  <c r="E36" i="19"/>
  <c r="F30" i="29"/>
  <c r="H30" i="29" s="1"/>
  <c r="B33" i="28"/>
  <c r="G38" i="20"/>
  <c r="B39" i="20"/>
  <c r="E39" i="20"/>
  <c r="F39" i="20" s="1"/>
  <c r="H38" i="20"/>
  <c r="B29" i="34"/>
  <c r="F29" i="34"/>
  <c r="H29" i="34" s="1"/>
  <c r="H35" i="19"/>
  <c r="I35" i="19" s="1"/>
  <c r="B32" i="26"/>
  <c r="F32" i="26"/>
  <c r="G32" i="26" s="1"/>
  <c r="B33" i="27"/>
  <c r="F33" i="27"/>
  <c r="H33" i="27" s="1"/>
  <c r="F33" i="23"/>
  <c r="H33" i="23" s="1"/>
  <c r="B33" i="23"/>
  <c r="J110" i="31"/>
  <c r="I27" i="37"/>
  <c r="H36" i="4"/>
  <c r="I36" i="4" s="1"/>
  <c r="H33" i="21"/>
  <c r="I33" i="21" s="1"/>
  <c r="D38" i="3"/>
  <c r="E38" i="3"/>
  <c r="B28" i="37"/>
  <c r="F28" i="37"/>
  <c r="G28" i="37" s="1"/>
  <c r="J113" i="26"/>
  <c r="J109" i="37"/>
  <c r="H37" i="3"/>
  <c r="I37" i="3" s="1"/>
  <c r="D37" i="4"/>
  <c r="E37" i="4"/>
  <c r="D34" i="21"/>
  <c r="E34" i="21"/>
  <c r="B29" i="35"/>
  <c r="F29" i="35"/>
  <c r="G29" i="35" s="1"/>
  <c r="B32" i="22"/>
  <c r="F32" i="22"/>
  <c r="D33" i="22" s="1"/>
  <c r="F31" i="13"/>
  <c r="G31" i="13" s="1"/>
  <c r="B31" i="13"/>
  <c r="F31" i="25"/>
  <c r="G31" i="25" s="1"/>
  <c r="B31" i="25"/>
  <c r="H35" i="18"/>
  <c r="I35" i="18" s="1"/>
  <c r="J116" i="18"/>
  <c r="E118" i="18"/>
  <c r="D118" i="18"/>
  <c r="G117" i="18"/>
  <c r="D119" i="4"/>
  <c r="E119" i="4"/>
  <c r="G118" i="4"/>
  <c r="G114" i="26"/>
  <c r="D115" i="26"/>
  <c r="E115" i="26"/>
  <c r="F114" i="25"/>
  <c r="H114" i="25" s="1"/>
  <c r="B114" i="25"/>
  <c r="E112" i="31"/>
  <c r="G111" i="31"/>
  <c r="D112" i="31"/>
  <c r="D112" i="35"/>
  <c r="E112" i="35"/>
  <c r="G111" i="35"/>
  <c r="I113" i="25"/>
  <c r="E111" i="37"/>
  <c r="G110" i="37"/>
  <c r="D111" i="37"/>
  <c r="J114" i="28"/>
  <c r="J110" i="38"/>
  <c r="J110" i="35"/>
  <c r="J114" i="27"/>
  <c r="D112" i="34"/>
  <c r="G111" i="34"/>
  <c r="E112" i="34"/>
  <c r="J114" i="21"/>
  <c r="G115" i="21"/>
  <c r="D116" i="21"/>
  <c r="E116" i="21"/>
  <c r="G115" i="27"/>
  <c r="D116" i="27"/>
  <c r="E116" i="27"/>
  <c r="G115" i="24"/>
  <c r="D116" i="24"/>
  <c r="E116" i="24"/>
  <c r="B118" i="19"/>
  <c r="F118" i="19"/>
  <c r="H118" i="19" s="1"/>
  <c r="I117" i="19"/>
  <c r="D112" i="38"/>
  <c r="G111" i="38"/>
  <c r="J114" i="24"/>
  <c r="J110" i="34"/>
  <c r="I118" i="3"/>
  <c r="B119" i="3"/>
  <c r="F119" i="3"/>
  <c r="H119" i="3" s="1"/>
  <c r="B112" i="20"/>
  <c r="I111" i="20"/>
  <c r="H111" i="20"/>
  <c r="F115" i="22"/>
  <c r="H115" i="22" s="1"/>
  <c r="B115" i="22"/>
  <c r="I114" i="22"/>
  <c r="E112" i="20"/>
  <c r="F112" i="20" s="1"/>
  <c r="H115" i="29" l="1"/>
  <c r="J115" i="29" s="1"/>
  <c r="E116" i="29"/>
  <c r="D116" i="29"/>
  <c r="B41" i="42"/>
  <c r="F41" i="42"/>
  <c r="F124" i="42"/>
  <c r="B124" i="42"/>
  <c r="F118" i="23"/>
  <c r="J117" i="23"/>
  <c r="H44" i="28"/>
  <c r="G44" i="28"/>
  <c r="E45" i="28"/>
  <c r="F45" i="28" s="1"/>
  <c r="B34" i="24"/>
  <c r="F34" i="24"/>
  <c r="H34" i="24" s="1"/>
  <c r="H28" i="37"/>
  <c r="I28" i="37" s="1"/>
  <c r="H111" i="13"/>
  <c r="I111" i="13"/>
  <c r="E112" i="13"/>
  <c r="F112" i="13" s="1"/>
  <c r="B112" i="13"/>
  <c r="H31" i="25"/>
  <c r="I31" i="25" s="1"/>
  <c r="G32" i="22"/>
  <c r="H32" i="22"/>
  <c r="G27" i="38"/>
  <c r="I27" i="38" s="1"/>
  <c r="G33" i="23"/>
  <c r="I33" i="23" s="1"/>
  <c r="I38" i="20"/>
  <c r="H29" i="35"/>
  <c r="I29" i="35" s="1"/>
  <c r="I33" i="28"/>
  <c r="F34" i="21"/>
  <c r="H34" i="21" s="1"/>
  <c r="B34" i="21"/>
  <c r="D33" i="26"/>
  <c r="E33" i="26"/>
  <c r="G29" i="34"/>
  <c r="I29" i="34" s="1"/>
  <c r="D32" i="25"/>
  <c r="E32" i="25"/>
  <c r="F37" i="4"/>
  <c r="H37" i="4" s="1"/>
  <c r="B37" i="4"/>
  <c r="E40" i="20"/>
  <c r="F40" i="20" s="1"/>
  <c r="B40" i="20"/>
  <c r="G39" i="20"/>
  <c r="H39" i="20"/>
  <c r="D31" i="29"/>
  <c r="E31" i="29"/>
  <c r="H31" i="13"/>
  <c r="I31" i="13" s="1"/>
  <c r="B38" i="3"/>
  <c r="F38" i="3"/>
  <c r="H38" i="3" s="1"/>
  <c r="D34" i="23"/>
  <c r="E34" i="23"/>
  <c r="H32" i="26"/>
  <c r="I32" i="26" s="1"/>
  <c r="G30" i="29"/>
  <c r="I30" i="29" s="1"/>
  <c r="D28" i="38"/>
  <c r="E28" i="38"/>
  <c r="G33" i="27"/>
  <c r="I33" i="27" s="1"/>
  <c r="H29" i="31"/>
  <c r="I29" i="31" s="1"/>
  <c r="D30" i="35"/>
  <c r="E30" i="35"/>
  <c r="B36" i="19"/>
  <c r="F36" i="19"/>
  <c r="G36" i="19" s="1"/>
  <c r="D32" i="13"/>
  <c r="E32" i="13" s="1"/>
  <c r="D34" i="27"/>
  <c r="E34" i="27"/>
  <c r="D30" i="34"/>
  <c r="E30" i="34"/>
  <c r="D30" i="31"/>
  <c r="E30" i="31"/>
  <c r="B33" i="22"/>
  <c r="F33" i="22"/>
  <c r="G33" i="22" s="1"/>
  <c r="D29" i="37"/>
  <c r="E29" i="37"/>
  <c r="B36" i="18"/>
  <c r="F36" i="18"/>
  <c r="H36" i="18" s="1"/>
  <c r="I118" i="4"/>
  <c r="I117" i="18"/>
  <c r="B119" i="4"/>
  <c r="F119" i="4"/>
  <c r="H119" i="4" s="1"/>
  <c r="B118" i="18"/>
  <c r="F118" i="18"/>
  <c r="H118" i="18" s="1"/>
  <c r="B111" i="37"/>
  <c r="F111" i="37"/>
  <c r="H111" i="37" s="1"/>
  <c r="B112" i="31"/>
  <c r="F112" i="31"/>
  <c r="H112" i="31" s="1"/>
  <c r="I110" i="37"/>
  <c r="I111" i="31"/>
  <c r="B116" i="28"/>
  <c r="J113" i="25"/>
  <c r="G114" i="25"/>
  <c r="D115" i="25"/>
  <c r="E115" i="25"/>
  <c r="I111" i="35"/>
  <c r="B115" i="26"/>
  <c r="F115" i="26"/>
  <c r="H115" i="26" s="1"/>
  <c r="J114" i="22"/>
  <c r="B112" i="35"/>
  <c r="F112" i="35"/>
  <c r="H112" i="35" s="1"/>
  <c r="I114" i="26"/>
  <c r="J118" i="3"/>
  <c r="J117" i="19"/>
  <c r="B112" i="38"/>
  <c r="B116" i="24"/>
  <c r="F116" i="24"/>
  <c r="H116" i="24" s="1"/>
  <c r="F116" i="21"/>
  <c r="H116" i="21" s="1"/>
  <c r="B116" i="21"/>
  <c r="I115" i="24"/>
  <c r="I115" i="21"/>
  <c r="I111" i="38"/>
  <c r="J111" i="20"/>
  <c r="E119" i="19"/>
  <c r="D119" i="19"/>
  <c r="G118" i="19"/>
  <c r="I115" i="27"/>
  <c r="I111" i="34"/>
  <c r="E112" i="38"/>
  <c r="F112" i="38" s="1"/>
  <c r="H112" i="38" s="1"/>
  <c r="F116" i="27"/>
  <c r="H116" i="27" s="1"/>
  <c r="B116" i="27"/>
  <c r="F112" i="34"/>
  <c r="H112" i="34" s="1"/>
  <c r="B112" i="34"/>
  <c r="D113" i="20"/>
  <c r="E113" i="20" s="1"/>
  <c r="G112" i="20"/>
  <c r="G119" i="3"/>
  <c r="D120" i="3"/>
  <c r="E120" i="3"/>
  <c r="D116" i="22"/>
  <c r="G115" i="22"/>
  <c r="E116" i="22"/>
  <c r="F116" i="29" l="1"/>
  <c r="H116" i="29" s="1"/>
  <c r="D42" i="42"/>
  <c r="E42" i="42" s="1"/>
  <c r="D125" i="42"/>
  <c r="E125" i="42" s="1"/>
  <c r="G124" i="42"/>
  <c r="D119" i="23"/>
  <c r="G118" i="23"/>
  <c r="I118" i="23" s="1"/>
  <c r="H118" i="23"/>
  <c r="E119" i="23"/>
  <c r="H45" i="28"/>
  <c r="G45" i="28"/>
  <c r="E46" i="28"/>
  <c r="F46" i="28" s="1"/>
  <c r="G34" i="24"/>
  <c r="I34" i="24" s="1"/>
  <c r="D35" i="24"/>
  <c r="E35" i="24"/>
  <c r="J114" i="26"/>
  <c r="I32" i="22"/>
  <c r="G34" i="21"/>
  <c r="I34" i="21" s="1"/>
  <c r="J111" i="13"/>
  <c r="J111" i="38"/>
  <c r="D113" i="13"/>
  <c r="B113" i="13" s="1"/>
  <c r="G112" i="13"/>
  <c r="H36" i="19"/>
  <c r="I36" i="19" s="1"/>
  <c r="G36" i="18"/>
  <c r="I36" i="18" s="1"/>
  <c r="I39" i="20"/>
  <c r="B30" i="31"/>
  <c r="F30" i="31"/>
  <c r="H30" i="31" s="1"/>
  <c r="F31" i="29"/>
  <c r="D38" i="4"/>
  <c r="E38" i="4"/>
  <c r="B29" i="37"/>
  <c r="F29" i="37"/>
  <c r="G29" i="37" s="1"/>
  <c r="B30" i="34"/>
  <c r="F30" i="34"/>
  <c r="H30" i="34" s="1"/>
  <c r="B34" i="23"/>
  <c r="F34" i="23"/>
  <c r="G34" i="23" s="1"/>
  <c r="J111" i="35"/>
  <c r="D34" i="22"/>
  <c r="E34" i="22"/>
  <c r="B34" i="27"/>
  <c r="F34" i="27"/>
  <c r="H34" i="27" s="1"/>
  <c r="B34" i="28"/>
  <c r="D39" i="3"/>
  <c r="E39" i="3"/>
  <c r="B32" i="25"/>
  <c r="F32" i="25"/>
  <c r="H32" i="25" s="1"/>
  <c r="D35" i="21"/>
  <c r="E35" i="21"/>
  <c r="J115" i="28"/>
  <c r="J111" i="31"/>
  <c r="D37" i="18"/>
  <c r="E37" i="18"/>
  <c r="H33" i="22"/>
  <c r="I33" i="22" s="1"/>
  <c r="H40" i="20"/>
  <c r="B41" i="20"/>
  <c r="E41" i="20"/>
  <c r="F41" i="20" s="1"/>
  <c r="G40" i="20"/>
  <c r="F32" i="13"/>
  <c r="H32" i="13" s="1"/>
  <c r="B32" i="13"/>
  <c r="B30" i="35"/>
  <c r="F30" i="35"/>
  <c r="H30" i="35" s="1"/>
  <c r="B28" i="38"/>
  <c r="F28" i="38"/>
  <c r="H28" i="38" s="1"/>
  <c r="G38" i="3"/>
  <c r="I38" i="3" s="1"/>
  <c r="G37" i="4"/>
  <c r="I37" i="4" s="1"/>
  <c r="D37" i="19"/>
  <c r="E37" i="19"/>
  <c r="B33" i="26"/>
  <c r="F33" i="26"/>
  <c r="G33" i="26" s="1"/>
  <c r="G119" i="4"/>
  <c r="E120" i="4"/>
  <c r="D120" i="4"/>
  <c r="J117" i="18"/>
  <c r="G118" i="18"/>
  <c r="D119" i="18"/>
  <c r="E119" i="18"/>
  <c r="J115" i="21"/>
  <c r="J118" i="4"/>
  <c r="D113" i="35"/>
  <c r="E113" i="35"/>
  <c r="G112" i="35"/>
  <c r="J115" i="24"/>
  <c r="B115" i="25"/>
  <c r="F115" i="25"/>
  <c r="H115" i="25" s="1"/>
  <c r="J110" i="37"/>
  <c r="E116" i="26"/>
  <c r="G115" i="26"/>
  <c r="D116" i="26"/>
  <c r="I114" i="25"/>
  <c r="D113" i="31"/>
  <c r="E113" i="31"/>
  <c r="G112" i="31"/>
  <c r="D112" i="37"/>
  <c r="G111" i="37"/>
  <c r="E112" i="37"/>
  <c r="J115" i="27"/>
  <c r="D113" i="38"/>
  <c r="G112" i="38"/>
  <c r="G116" i="21"/>
  <c r="D117" i="21"/>
  <c r="E117" i="21"/>
  <c r="G116" i="27"/>
  <c r="D117" i="27"/>
  <c r="E117" i="27"/>
  <c r="I118" i="19"/>
  <c r="G116" i="24"/>
  <c r="D117" i="24"/>
  <c r="E117" i="24"/>
  <c r="F119" i="19"/>
  <c r="H119" i="19" s="1"/>
  <c r="B119" i="19"/>
  <c r="J111" i="34"/>
  <c r="D113" i="34"/>
  <c r="G112" i="34"/>
  <c r="E113" i="34"/>
  <c r="I115" i="22"/>
  <c r="I119" i="3"/>
  <c r="F120" i="3"/>
  <c r="H120" i="3" s="1"/>
  <c r="B120" i="3"/>
  <c r="B116" i="22"/>
  <c r="F116" i="22"/>
  <c r="H116" i="22" s="1"/>
  <c r="H112" i="20"/>
  <c r="I112" i="20"/>
  <c r="B113" i="20"/>
  <c r="F113" i="20"/>
  <c r="E117" i="29" l="1"/>
  <c r="D117" i="29"/>
  <c r="G116" i="29"/>
  <c r="I116" i="29" s="1"/>
  <c r="J116" i="29" s="1"/>
  <c r="B125" i="42"/>
  <c r="F125" i="42"/>
  <c r="F42" i="42"/>
  <c r="B42" i="42"/>
  <c r="F119" i="23"/>
  <c r="H119" i="23" s="1"/>
  <c r="J118" i="23"/>
  <c r="H46" i="28"/>
  <c r="G46" i="28"/>
  <c r="E47" i="28"/>
  <c r="F47" i="28" s="1"/>
  <c r="E113" i="38"/>
  <c r="F113" i="38" s="1"/>
  <c r="H113" i="38" s="1"/>
  <c r="B35" i="24"/>
  <c r="F35" i="24"/>
  <c r="G35" i="24" s="1"/>
  <c r="E113" i="13"/>
  <c r="F113" i="13" s="1"/>
  <c r="H112" i="13"/>
  <c r="I112" i="13"/>
  <c r="H34" i="23"/>
  <c r="I34" i="23" s="1"/>
  <c r="I34" i="28"/>
  <c r="G30" i="34"/>
  <c r="I30" i="34" s="1"/>
  <c r="G34" i="27"/>
  <c r="I34" i="27" s="1"/>
  <c r="D34" i="26"/>
  <c r="E34" i="26"/>
  <c r="D29" i="38"/>
  <c r="E29" i="38"/>
  <c r="D33" i="13"/>
  <c r="B37" i="18"/>
  <c r="F37" i="18"/>
  <c r="D30" i="37"/>
  <c r="E30" i="37"/>
  <c r="G32" i="13"/>
  <c r="I32" i="13" s="1"/>
  <c r="D35" i="27"/>
  <c r="E35" i="27"/>
  <c r="J115" i="22"/>
  <c r="B39" i="3"/>
  <c r="F39" i="3"/>
  <c r="H39" i="3" s="1"/>
  <c r="D31" i="31"/>
  <c r="E31" i="31"/>
  <c r="F37" i="19"/>
  <c r="H37" i="19" s="1"/>
  <c r="B37" i="19"/>
  <c r="D31" i="35"/>
  <c r="E31" i="35"/>
  <c r="E42" i="20"/>
  <c r="F42" i="20" s="1"/>
  <c r="H41" i="20"/>
  <c r="B42" i="20"/>
  <c r="G41" i="20"/>
  <c r="F38" i="4"/>
  <c r="G38" i="4" s="1"/>
  <c r="B38" i="4"/>
  <c r="G30" i="31"/>
  <c r="I30" i="31" s="1"/>
  <c r="G30" i="35"/>
  <c r="I30" i="35" s="1"/>
  <c r="B35" i="21"/>
  <c r="F35" i="21"/>
  <c r="G35" i="21" s="1"/>
  <c r="B34" i="22"/>
  <c r="F34" i="22"/>
  <c r="H34" i="22" s="1"/>
  <c r="D31" i="34"/>
  <c r="E31" i="34"/>
  <c r="D32" i="29"/>
  <c r="E32" i="29"/>
  <c r="I40" i="20"/>
  <c r="D33" i="25"/>
  <c r="E33" i="25"/>
  <c r="G31" i="29"/>
  <c r="H33" i="26"/>
  <c r="I33" i="26" s="1"/>
  <c r="G28" i="38"/>
  <c r="I28" i="38" s="1"/>
  <c r="G32" i="25"/>
  <c r="I32" i="25" s="1"/>
  <c r="D35" i="23"/>
  <c r="E35" i="23"/>
  <c r="H29" i="37"/>
  <c r="I29" i="37" s="1"/>
  <c r="H31" i="29"/>
  <c r="I118" i="18"/>
  <c r="F120" i="4"/>
  <c r="H120" i="4" s="1"/>
  <c r="B120" i="4"/>
  <c r="B119" i="18"/>
  <c r="F119" i="18"/>
  <c r="H119" i="18" s="1"/>
  <c r="I119" i="4"/>
  <c r="I112" i="31"/>
  <c r="B117" i="28"/>
  <c r="G115" i="25"/>
  <c r="D116" i="25"/>
  <c r="E116" i="25"/>
  <c r="B113" i="31"/>
  <c r="F113" i="31"/>
  <c r="H113" i="31" s="1"/>
  <c r="J114" i="25"/>
  <c r="I112" i="35"/>
  <c r="I111" i="37"/>
  <c r="F116" i="26"/>
  <c r="H116" i="26" s="1"/>
  <c r="B116" i="26"/>
  <c r="F112" i="37"/>
  <c r="H112" i="37" s="1"/>
  <c r="B112" i="37"/>
  <c r="I115" i="26"/>
  <c r="B113" i="35"/>
  <c r="F113" i="35"/>
  <c r="H113" i="35" s="1"/>
  <c r="I112" i="34"/>
  <c r="I112" i="38"/>
  <c r="B117" i="24"/>
  <c r="F117" i="24"/>
  <c r="H117" i="24" s="1"/>
  <c r="B117" i="27"/>
  <c r="F117" i="27"/>
  <c r="H117" i="27" s="1"/>
  <c r="I116" i="24"/>
  <c r="I116" i="27"/>
  <c r="B113" i="38"/>
  <c r="B113" i="34"/>
  <c r="F113" i="34"/>
  <c r="H113" i="34" s="1"/>
  <c r="J119" i="3"/>
  <c r="F117" i="21"/>
  <c r="H117" i="21" s="1"/>
  <c r="B117" i="21"/>
  <c r="D120" i="19"/>
  <c r="G119" i="19"/>
  <c r="E120" i="19"/>
  <c r="J118" i="19"/>
  <c r="I116" i="21"/>
  <c r="G120" i="3"/>
  <c r="D121" i="3"/>
  <c r="E121" i="3"/>
  <c r="D114" i="20"/>
  <c r="E114" i="20" s="1"/>
  <c r="G113" i="20"/>
  <c r="G116" i="22"/>
  <c r="E117" i="22"/>
  <c r="D117" i="22"/>
  <c r="J112" i="20"/>
  <c r="F117" i="29" l="1"/>
  <c r="D118" i="29" s="1"/>
  <c r="G125" i="42"/>
  <c r="D126" i="42"/>
  <c r="E126" i="42" s="1"/>
  <c r="D43" i="42"/>
  <c r="D120" i="23"/>
  <c r="E120" i="23"/>
  <c r="G119" i="23"/>
  <c r="I119" i="23" s="1"/>
  <c r="J119" i="23" s="1"/>
  <c r="H47" i="28"/>
  <c r="G47" i="28"/>
  <c r="E48" i="28"/>
  <c r="F48" i="28" s="1"/>
  <c r="G37" i="19"/>
  <c r="I37" i="19" s="1"/>
  <c r="H35" i="24"/>
  <c r="I35" i="24" s="1"/>
  <c r="D36" i="24"/>
  <c r="E36" i="24"/>
  <c r="J112" i="13"/>
  <c r="J119" i="4"/>
  <c r="D114" i="13"/>
  <c r="G113" i="13"/>
  <c r="I31" i="29"/>
  <c r="I41" i="20"/>
  <c r="H38" i="4"/>
  <c r="I38" i="4" s="1"/>
  <c r="B33" i="13"/>
  <c r="F35" i="23"/>
  <c r="B35" i="23"/>
  <c r="D35" i="22"/>
  <c r="E35" i="22"/>
  <c r="B33" i="25"/>
  <c r="F33" i="25"/>
  <c r="H33" i="25" s="1"/>
  <c r="G42" i="20"/>
  <c r="E43" i="20"/>
  <c r="F43" i="20" s="1"/>
  <c r="B43" i="20"/>
  <c r="H42" i="20"/>
  <c r="F31" i="31"/>
  <c r="H31" i="31" s="1"/>
  <c r="B31" i="31"/>
  <c r="F30" i="37"/>
  <c r="G30" i="37" s="1"/>
  <c r="B30" i="37"/>
  <c r="B29" i="38"/>
  <c r="F29" i="38"/>
  <c r="B35" i="28"/>
  <c r="G34" i="22"/>
  <c r="I34" i="22" s="1"/>
  <c r="F35" i="27"/>
  <c r="H35" i="27" s="1"/>
  <c r="B35" i="27"/>
  <c r="D38" i="18"/>
  <c r="E38" i="18"/>
  <c r="H35" i="21"/>
  <c r="I35" i="21" s="1"/>
  <c r="B31" i="35"/>
  <c r="F31" i="35"/>
  <c r="G31" i="35" s="1"/>
  <c r="D40" i="3"/>
  <c r="E40" i="3"/>
  <c r="H37" i="18"/>
  <c r="J118" i="18"/>
  <c r="F32" i="29"/>
  <c r="D39" i="4"/>
  <c r="E39" i="4"/>
  <c r="G39" i="3"/>
  <c r="I39" i="3" s="1"/>
  <c r="G37" i="18"/>
  <c r="F34" i="26"/>
  <c r="G34" i="26" s="1"/>
  <c r="B34" i="26"/>
  <c r="D36" i="21"/>
  <c r="E36" i="21"/>
  <c r="F31" i="34"/>
  <c r="G31" i="34" s="1"/>
  <c r="B31" i="34"/>
  <c r="D38" i="19"/>
  <c r="E38" i="19"/>
  <c r="E33" i="13"/>
  <c r="F33" i="13" s="1"/>
  <c r="J111" i="37"/>
  <c r="G119" i="18"/>
  <c r="D120" i="18"/>
  <c r="E120" i="18"/>
  <c r="E121" i="4"/>
  <c r="G120" i="4"/>
  <c r="D121" i="4"/>
  <c r="G113" i="35"/>
  <c r="D114" i="35"/>
  <c r="E114" i="35"/>
  <c r="B116" i="25"/>
  <c r="F116" i="25"/>
  <c r="H116" i="25" s="1"/>
  <c r="J116" i="24"/>
  <c r="J115" i="26"/>
  <c r="J112" i="35"/>
  <c r="I115" i="25"/>
  <c r="D113" i="37"/>
  <c r="E113" i="37"/>
  <c r="G112" i="37"/>
  <c r="G113" i="31"/>
  <c r="E114" i="31"/>
  <c r="D114" i="31"/>
  <c r="G116" i="26"/>
  <c r="D117" i="26"/>
  <c r="E117" i="26"/>
  <c r="J116" i="28"/>
  <c r="J112" i="31"/>
  <c r="I119" i="19"/>
  <c r="F120" i="19"/>
  <c r="H120" i="19" s="1"/>
  <c r="B120" i="19"/>
  <c r="J116" i="27"/>
  <c r="J112" i="34"/>
  <c r="D118" i="24"/>
  <c r="G117" i="24"/>
  <c r="E118" i="24"/>
  <c r="G117" i="21"/>
  <c r="D118" i="21"/>
  <c r="E118" i="21"/>
  <c r="D114" i="38"/>
  <c r="G113" i="38"/>
  <c r="J116" i="21"/>
  <c r="J112" i="38"/>
  <c r="D114" i="34"/>
  <c r="G113" i="34"/>
  <c r="E114" i="34"/>
  <c r="D118" i="27"/>
  <c r="G117" i="27"/>
  <c r="E118" i="27"/>
  <c r="B121" i="3"/>
  <c r="F121" i="3"/>
  <c r="H121" i="3" s="1"/>
  <c r="I113" i="20"/>
  <c r="H113" i="20"/>
  <c r="I120" i="3"/>
  <c r="F117" i="22"/>
  <c r="H117" i="22" s="1"/>
  <c r="B117" i="22"/>
  <c r="B114" i="20"/>
  <c r="F114" i="20"/>
  <c r="I116" i="22"/>
  <c r="G117" i="29" l="1"/>
  <c r="I117" i="29" s="1"/>
  <c r="H117" i="29"/>
  <c r="E118" i="29"/>
  <c r="F118" i="29" s="1"/>
  <c r="E119" i="29" s="1"/>
  <c r="B43" i="42"/>
  <c r="F120" i="23"/>
  <c r="E121" i="23" s="1"/>
  <c r="B126" i="42"/>
  <c r="F126" i="42"/>
  <c r="E43" i="42"/>
  <c r="F43" i="42" s="1"/>
  <c r="H48" i="28"/>
  <c r="G48" i="28"/>
  <c r="E49" i="28"/>
  <c r="F49" i="28" s="1"/>
  <c r="B36" i="24"/>
  <c r="F36" i="24"/>
  <c r="G36" i="24" s="1"/>
  <c r="H113" i="13"/>
  <c r="I113" i="13"/>
  <c r="J115" i="25"/>
  <c r="E114" i="13"/>
  <c r="F114" i="13" s="1"/>
  <c r="B114" i="13"/>
  <c r="H34" i="26"/>
  <c r="I34" i="26" s="1"/>
  <c r="H31" i="35"/>
  <c r="I31" i="35" s="1"/>
  <c r="D34" i="13"/>
  <c r="E34" i="13" s="1"/>
  <c r="H33" i="13"/>
  <c r="G33" i="13"/>
  <c r="D33" i="29"/>
  <c r="E33" i="29"/>
  <c r="D30" i="38"/>
  <c r="E30" i="38"/>
  <c r="E36" i="23"/>
  <c r="D36" i="23"/>
  <c r="D32" i="34"/>
  <c r="E32" i="34"/>
  <c r="H32" i="29"/>
  <c r="G29" i="38"/>
  <c r="D32" i="31"/>
  <c r="E32" i="31"/>
  <c r="D34" i="25"/>
  <c r="E34" i="25"/>
  <c r="H31" i="34"/>
  <c r="I31" i="34" s="1"/>
  <c r="I37" i="18"/>
  <c r="I42" i="20"/>
  <c r="F38" i="18"/>
  <c r="G38" i="18" s="1"/>
  <c r="B38" i="18"/>
  <c r="I35" i="28"/>
  <c r="H30" i="37"/>
  <c r="I30" i="37" s="1"/>
  <c r="B35" i="22"/>
  <c r="F35" i="22"/>
  <c r="G35" i="22" s="1"/>
  <c r="B36" i="21"/>
  <c r="F36" i="21"/>
  <c r="H36" i="21" s="1"/>
  <c r="B40" i="3"/>
  <c r="F40" i="3"/>
  <c r="H40" i="3" s="1"/>
  <c r="E44" i="20"/>
  <c r="F44" i="20" s="1"/>
  <c r="B44" i="20"/>
  <c r="H43" i="20"/>
  <c r="G43" i="20"/>
  <c r="H35" i="23"/>
  <c r="F39" i="4"/>
  <c r="H39" i="4" s="1"/>
  <c r="B39" i="4"/>
  <c r="D36" i="27"/>
  <c r="E36" i="27"/>
  <c r="D31" i="37"/>
  <c r="E31" i="37"/>
  <c r="F38" i="19"/>
  <c r="H38" i="19" s="1"/>
  <c r="B38" i="19"/>
  <c r="D35" i="26"/>
  <c r="E35" i="26"/>
  <c r="G32" i="29"/>
  <c r="D32" i="35"/>
  <c r="E32" i="35"/>
  <c r="G35" i="27"/>
  <c r="I35" i="27" s="1"/>
  <c r="H29" i="38"/>
  <c r="G31" i="31"/>
  <c r="I31" i="31" s="1"/>
  <c r="G33" i="25"/>
  <c r="I33" i="25" s="1"/>
  <c r="G35" i="23"/>
  <c r="F121" i="4"/>
  <c r="H121" i="4" s="1"/>
  <c r="B121" i="4"/>
  <c r="J120" i="3"/>
  <c r="F120" i="18"/>
  <c r="H120" i="18" s="1"/>
  <c r="B120" i="18"/>
  <c r="I119" i="18"/>
  <c r="I120" i="4"/>
  <c r="F113" i="37"/>
  <c r="H113" i="37" s="1"/>
  <c r="B113" i="37"/>
  <c r="B117" i="26"/>
  <c r="F117" i="26"/>
  <c r="H117" i="26" s="1"/>
  <c r="B118" i="28"/>
  <c r="D117" i="25"/>
  <c r="E117" i="25"/>
  <c r="G116" i="25"/>
  <c r="I116" i="26"/>
  <c r="B114" i="31"/>
  <c r="F114" i="31"/>
  <c r="H114" i="31" s="1"/>
  <c r="B114" i="35"/>
  <c r="F114" i="35"/>
  <c r="H114" i="35" s="1"/>
  <c r="I113" i="31"/>
  <c r="I113" i="35"/>
  <c r="I112" i="37"/>
  <c r="I113" i="34"/>
  <c r="F114" i="34"/>
  <c r="H114" i="34" s="1"/>
  <c r="B114" i="34"/>
  <c r="D121" i="19"/>
  <c r="G120" i="19"/>
  <c r="B114" i="38"/>
  <c r="E114" i="38"/>
  <c r="F114" i="38" s="1"/>
  <c r="H114" i="38" s="1"/>
  <c r="B118" i="21"/>
  <c r="F118" i="21"/>
  <c r="H118" i="21" s="1"/>
  <c r="I117" i="21"/>
  <c r="I117" i="27"/>
  <c r="B118" i="24"/>
  <c r="F118" i="24"/>
  <c r="H118" i="24" s="1"/>
  <c r="F118" i="27"/>
  <c r="H118" i="27" s="1"/>
  <c r="B118" i="27"/>
  <c r="I113" i="38"/>
  <c r="I117" i="24"/>
  <c r="J119" i="19"/>
  <c r="D115" i="20"/>
  <c r="G114" i="20"/>
  <c r="J113" i="20"/>
  <c r="E118" i="22"/>
  <c r="G117" i="22"/>
  <c r="D118" i="22"/>
  <c r="J116" i="22"/>
  <c r="D122" i="3"/>
  <c r="G121" i="3"/>
  <c r="J117" i="29" l="1"/>
  <c r="H118" i="29"/>
  <c r="D119" i="29"/>
  <c r="F119" i="29" s="1"/>
  <c r="D120" i="29" s="1"/>
  <c r="G118" i="29"/>
  <c r="I118" i="29" s="1"/>
  <c r="G120" i="23"/>
  <c r="I120" i="23" s="1"/>
  <c r="H120" i="23"/>
  <c r="D121" i="23"/>
  <c r="F121" i="23" s="1"/>
  <c r="G126" i="42"/>
  <c r="D127" i="42"/>
  <c r="E127" i="42" s="1"/>
  <c r="D44" i="42"/>
  <c r="H49" i="28"/>
  <c r="G49" i="28"/>
  <c r="E50" i="28"/>
  <c r="F50" i="28" s="1"/>
  <c r="E121" i="19"/>
  <c r="F121" i="19" s="1"/>
  <c r="H121" i="19" s="1"/>
  <c r="I29" i="38"/>
  <c r="H36" i="24"/>
  <c r="I36" i="24" s="1"/>
  <c r="D37" i="24"/>
  <c r="E37" i="24"/>
  <c r="J113" i="13"/>
  <c r="J117" i="27"/>
  <c r="D115" i="13"/>
  <c r="G114" i="13"/>
  <c r="G36" i="21"/>
  <c r="I36" i="21" s="1"/>
  <c r="G39" i="4"/>
  <c r="I39" i="4" s="1"/>
  <c r="H38" i="18"/>
  <c r="I38" i="18" s="1"/>
  <c r="G40" i="3"/>
  <c r="I40" i="3" s="1"/>
  <c r="F36" i="27"/>
  <c r="H36" i="27" s="1"/>
  <c r="B36" i="27"/>
  <c r="F33" i="29"/>
  <c r="G33" i="29" s="1"/>
  <c r="B45" i="20"/>
  <c r="H44" i="20"/>
  <c r="E45" i="20"/>
  <c r="F45" i="20" s="1"/>
  <c r="G44" i="20"/>
  <c r="F32" i="34"/>
  <c r="G32" i="34" s="1"/>
  <c r="B32" i="34"/>
  <c r="B35" i="26"/>
  <c r="F35" i="26"/>
  <c r="G35" i="26" s="1"/>
  <c r="B34" i="25"/>
  <c r="F34" i="25"/>
  <c r="H34" i="25" s="1"/>
  <c r="B36" i="23"/>
  <c r="F36" i="23"/>
  <c r="H36" i="23" s="1"/>
  <c r="J113" i="35"/>
  <c r="J119" i="18"/>
  <c r="G38" i="19"/>
  <c r="I38" i="19" s="1"/>
  <c r="D39" i="18"/>
  <c r="E39" i="18"/>
  <c r="F31" i="37"/>
  <c r="H31" i="37" s="1"/>
  <c r="B31" i="37"/>
  <c r="D40" i="4"/>
  <c r="E40" i="4"/>
  <c r="D41" i="3"/>
  <c r="E41" i="3"/>
  <c r="D36" i="22"/>
  <c r="E36" i="22"/>
  <c r="B32" i="31"/>
  <c r="F32" i="31"/>
  <c r="H32" i="31" s="1"/>
  <c r="I33" i="13"/>
  <c r="J113" i="38"/>
  <c r="J113" i="31"/>
  <c r="J116" i="26"/>
  <c r="I35" i="23"/>
  <c r="F30" i="38"/>
  <c r="H30" i="38" s="1"/>
  <c r="B30" i="38"/>
  <c r="B34" i="13"/>
  <c r="F34" i="13"/>
  <c r="H34" i="13" s="1"/>
  <c r="D39" i="19"/>
  <c r="E39" i="19"/>
  <c r="B36" i="28"/>
  <c r="H35" i="22"/>
  <c r="I35" i="22" s="1"/>
  <c r="I32" i="29"/>
  <c r="J113" i="34"/>
  <c r="F32" i="35"/>
  <c r="H32" i="35" s="1"/>
  <c r="B32" i="35"/>
  <c r="I43" i="20"/>
  <c r="D37" i="21"/>
  <c r="E37" i="21"/>
  <c r="J117" i="24"/>
  <c r="G120" i="18"/>
  <c r="D121" i="18"/>
  <c r="J120" i="4"/>
  <c r="G121" i="4"/>
  <c r="D122" i="4"/>
  <c r="D115" i="31"/>
  <c r="G114" i="31"/>
  <c r="E115" i="31"/>
  <c r="F117" i="25"/>
  <c r="H117" i="25" s="1"/>
  <c r="B117" i="25"/>
  <c r="J112" i="37"/>
  <c r="J117" i="28"/>
  <c r="D118" i="26"/>
  <c r="G117" i="26"/>
  <c r="E118" i="26"/>
  <c r="G114" i="35"/>
  <c r="E115" i="35"/>
  <c r="D115" i="35"/>
  <c r="I116" i="25"/>
  <c r="D114" i="37"/>
  <c r="G113" i="37"/>
  <c r="E114" i="37"/>
  <c r="J117" i="21"/>
  <c r="B121" i="19"/>
  <c r="G114" i="34"/>
  <c r="D115" i="34"/>
  <c r="E115" i="34"/>
  <c r="G118" i="27"/>
  <c r="D119" i="27"/>
  <c r="E119" i="27"/>
  <c r="D115" i="38"/>
  <c r="G114" i="38"/>
  <c r="G118" i="21"/>
  <c r="D119" i="21"/>
  <c r="E119" i="21"/>
  <c r="G118" i="24"/>
  <c r="D119" i="24"/>
  <c r="E119" i="24"/>
  <c r="I120" i="19"/>
  <c r="B118" i="22"/>
  <c r="F118" i="22"/>
  <c r="H118" i="22" s="1"/>
  <c r="B122" i="3"/>
  <c r="B115" i="20"/>
  <c r="I121" i="3"/>
  <c r="H114" i="20"/>
  <c r="I114" i="20"/>
  <c r="I117" i="22"/>
  <c r="E122" i="3"/>
  <c r="F122" i="3" s="1"/>
  <c r="H122" i="3" s="1"/>
  <c r="E115" i="20"/>
  <c r="F115" i="20" s="1"/>
  <c r="H119" i="29" l="1"/>
  <c r="E120" i="29"/>
  <c r="F120" i="29" s="1"/>
  <c r="H120" i="29" s="1"/>
  <c r="G119" i="29"/>
  <c r="I119" i="29" s="1"/>
  <c r="J118" i="29"/>
  <c r="J120" i="23"/>
  <c r="E122" i="23"/>
  <c r="D122" i="23"/>
  <c r="H121" i="23"/>
  <c r="G121" i="23"/>
  <c r="I121" i="23" s="1"/>
  <c r="F127" i="42"/>
  <c r="B127" i="42"/>
  <c r="B44" i="42"/>
  <c r="E44" i="42"/>
  <c r="F44" i="42" s="1"/>
  <c r="H50" i="28"/>
  <c r="G50" i="28"/>
  <c r="E51" i="28"/>
  <c r="F51" i="28" s="1"/>
  <c r="B121" i="18"/>
  <c r="E115" i="38"/>
  <c r="F115" i="38" s="1"/>
  <c r="H115" i="38" s="1"/>
  <c r="B37" i="24"/>
  <c r="F37" i="24"/>
  <c r="G37" i="24" s="1"/>
  <c r="H114" i="13"/>
  <c r="I114" i="13"/>
  <c r="E115" i="13"/>
  <c r="F115" i="13" s="1"/>
  <c r="B115" i="13"/>
  <c r="G36" i="27"/>
  <c r="I36" i="27" s="1"/>
  <c r="G32" i="31"/>
  <c r="I32" i="31" s="1"/>
  <c r="G30" i="38"/>
  <c r="I30" i="38" s="1"/>
  <c r="H32" i="34"/>
  <c r="I32" i="34" s="1"/>
  <c r="G34" i="13"/>
  <c r="I34" i="13" s="1"/>
  <c r="G31" i="37"/>
  <c r="I31" i="37" s="1"/>
  <c r="F37" i="21"/>
  <c r="G37" i="21" s="1"/>
  <c r="B37" i="21"/>
  <c r="G34" i="25"/>
  <c r="I34" i="25" s="1"/>
  <c r="D33" i="34"/>
  <c r="E33" i="34"/>
  <c r="D35" i="13"/>
  <c r="E37" i="23"/>
  <c r="D37" i="23"/>
  <c r="G32" i="35"/>
  <c r="I32" i="35" s="1"/>
  <c r="B36" i="22"/>
  <c r="F36" i="22"/>
  <c r="D32" i="37"/>
  <c r="E32" i="37"/>
  <c r="D36" i="26"/>
  <c r="E36" i="26"/>
  <c r="E46" i="20"/>
  <c r="F46" i="20" s="1"/>
  <c r="G45" i="20"/>
  <c r="H45" i="20"/>
  <c r="B46" i="20"/>
  <c r="G36" i="23"/>
  <c r="I36" i="23" s="1"/>
  <c r="I44" i="20"/>
  <c r="D37" i="27"/>
  <c r="E37" i="27"/>
  <c r="I36" i="28"/>
  <c r="F41" i="3"/>
  <c r="B41" i="3"/>
  <c r="F39" i="18"/>
  <c r="H39" i="18" s="1"/>
  <c r="B39" i="18"/>
  <c r="H35" i="26"/>
  <c r="I35" i="26" s="1"/>
  <c r="D33" i="35"/>
  <c r="E33" i="35"/>
  <c r="D35" i="25"/>
  <c r="E35" i="25"/>
  <c r="D34" i="29"/>
  <c r="E34" i="29"/>
  <c r="B39" i="19"/>
  <c r="F39" i="19"/>
  <c r="H39" i="19" s="1"/>
  <c r="D31" i="38"/>
  <c r="E31" i="38"/>
  <c r="D33" i="31"/>
  <c r="E33" i="31"/>
  <c r="F40" i="4"/>
  <c r="H40" i="4" s="1"/>
  <c r="B40" i="4"/>
  <c r="H33" i="29"/>
  <c r="I33" i="29" s="1"/>
  <c r="E122" i="4"/>
  <c r="F122" i="4" s="1"/>
  <c r="H122" i="4" s="1"/>
  <c r="B122" i="4"/>
  <c r="I121" i="4"/>
  <c r="E121" i="18"/>
  <c r="F121" i="18" s="1"/>
  <c r="H121" i="18" s="1"/>
  <c r="I120" i="18"/>
  <c r="B115" i="35"/>
  <c r="F115" i="35"/>
  <c r="H115" i="35" s="1"/>
  <c r="I114" i="35"/>
  <c r="I113" i="37"/>
  <c r="I117" i="26"/>
  <c r="D118" i="25"/>
  <c r="G117" i="25"/>
  <c r="E118" i="25"/>
  <c r="B114" i="37"/>
  <c r="F114" i="37"/>
  <c r="H114" i="37" s="1"/>
  <c r="F118" i="26"/>
  <c r="H118" i="26" s="1"/>
  <c r="B118" i="26"/>
  <c r="J116" i="25"/>
  <c r="I114" i="31"/>
  <c r="J121" i="3"/>
  <c r="B119" i="28"/>
  <c r="F115" i="31"/>
  <c r="H115" i="31" s="1"/>
  <c r="B115" i="31"/>
  <c r="I118" i="24"/>
  <c r="I114" i="38"/>
  <c r="B119" i="21"/>
  <c r="F119" i="21"/>
  <c r="H119" i="21" s="1"/>
  <c r="I118" i="21"/>
  <c r="I114" i="34"/>
  <c r="B119" i="24"/>
  <c r="F119" i="24"/>
  <c r="H119" i="24" s="1"/>
  <c r="B115" i="34"/>
  <c r="F115" i="34"/>
  <c r="H115" i="34" s="1"/>
  <c r="F119" i="27"/>
  <c r="H119" i="27" s="1"/>
  <c r="B119" i="27"/>
  <c r="D122" i="19"/>
  <c r="G121" i="19"/>
  <c r="J120" i="19"/>
  <c r="B115" i="38"/>
  <c r="J114" i="20"/>
  <c r="I118" i="27"/>
  <c r="G115" i="20"/>
  <c r="D116" i="20"/>
  <c r="E116" i="20" s="1"/>
  <c r="D123" i="3"/>
  <c r="G122" i="3"/>
  <c r="J117" i="22"/>
  <c r="G118" i="22"/>
  <c r="D119" i="22"/>
  <c r="J119" i="29" l="1"/>
  <c r="J121" i="23"/>
  <c r="G120" i="29"/>
  <c r="I120" i="29" s="1"/>
  <c r="F122" i="23"/>
  <c r="D123" i="23" s="1"/>
  <c r="D45" i="42"/>
  <c r="E45" i="42" s="1"/>
  <c r="D128" i="42"/>
  <c r="E128" i="42" s="1"/>
  <c r="G127" i="42"/>
  <c r="D121" i="29"/>
  <c r="E121" i="29" s="1"/>
  <c r="H51" i="28"/>
  <c r="G51" i="28"/>
  <c r="E52" i="28"/>
  <c r="F52" i="28" s="1"/>
  <c r="E123" i="3"/>
  <c r="F123" i="3" s="1"/>
  <c r="H123" i="3" s="1"/>
  <c r="H37" i="24"/>
  <c r="I37" i="24" s="1"/>
  <c r="E38" i="24"/>
  <c r="D38" i="24"/>
  <c r="H37" i="21"/>
  <c r="I37" i="21" s="1"/>
  <c r="J114" i="13"/>
  <c r="G115" i="13"/>
  <c r="D116" i="13"/>
  <c r="J114" i="35"/>
  <c r="J118" i="28"/>
  <c r="I45" i="20"/>
  <c r="G39" i="18"/>
  <c r="I39" i="18" s="1"/>
  <c r="J121" i="4"/>
  <c r="J120" i="18"/>
  <c r="D42" i="3"/>
  <c r="E42" i="3"/>
  <c r="F33" i="34"/>
  <c r="G33" i="34" s="1"/>
  <c r="B33" i="34"/>
  <c r="B31" i="38"/>
  <c r="F31" i="38"/>
  <c r="G31" i="38" s="1"/>
  <c r="B32" i="37"/>
  <c r="F32" i="37"/>
  <c r="G32" i="37" s="1"/>
  <c r="B37" i="23"/>
  <c r="F37" i="23"/>
  <c r="H37" i="23" s="1"/>
  <c r="D37" i="22"/>
  <c r="E37" i="22"/>
  <c r="D40" i="19"/>
  <c r="E40" i="19"/>
  <c r="F34" i="29"/>
  <c r="H36" i="22"/>
  <c r="B35" i="13"/>
  <c r="D41" i="4"/>
  <c r="E41" i="4"/>
  <c r="D40" i="18"/>
  <c r="E40" i="18"/>
  <c r="G36" i="22"/>
  <c r="E35" i="13"/>
  <c r="F35" i="13" s="1"/>
  <c r="G40" i="4"/>
  <c r="I40" i="4" s="1"/>
  <c r="G39" i="19"/>
  <c r="I39" i="19" s="1"/>
  <c r="B35" i="25"/>
  <c r="F35" i="25"/>
  <c r="H35" i="25" s="1"/>
  <c r="B37" i="27"/>
  <c r="F37" i="27"/>
  <c r="H37" i="27" s="1"/>
  <c r="G46" i="20"/>
  <c r="B47" i="20"/>
  <c r="H46" i="20"/>
  <c r="E47" i="20"/>
  <c r="F47" i="20" s="1"/>
  <c r="D38" i="21"/>
  <c r="E38" i="21"/>
  <c r="H41" i="3"/>
  <c r="F33" i="31"/>
  <c r="H33" i="31" s="1"/>
  <c r="B33" i="31"/>
  <c r="F33" i="35"/>
  <c r="B33" i="35"/>
  <c r="G41" i="3"/>
  <c r="B36" i="26"/>
  <c r="F36" i="26"/>
  <c r="G36" i="26" s="1"/>
  <c r="B37" i="28"/>
  <c r="G121" i="18"/>
  <c r="D122" i="18"/>
  <c r="J114" i="31"/>
  <c r="D123" i="4"/>
  <c r="G122" i="4"/>
  <c r="G114" i="37"/>
  <c r="E115" i="37"/>
  <c r="D115" i="37"/>
  <c r="I117" i="25"/>
  <c r="F118" i="25"/>
  <c r="H118" i="25" s="1"/>
  <c r="B118" i="25"/>
  <c r="J117" i="26"/>
  <c r="E116" i="35"/>
  <c r="G115" i="35"/>
  <c r="D116" i="35"/>
  <c r="J114" i="34"/>
  <c r="D116" i="31"/>
  <c r="G115" i="31"/>
  <c r="E116" i="31"/>
  <c r="D119" i="26"/>
  <c r="G118" i="26"/>
  <c r="J113" i="37"/>
  <c r="G119" i="27"/>
  <c r="D120" i="27"/>
  <c r="J118" i="21"/>
  <c r="B122" i="19"/>
  <c r="G115" i="34"/>
  <c r="D116" i="34"/>
  <c r="E116" i="34"/>
  <c r="D120" i="21"/>
  <c r="G119" i="21"/>
  <c r="J118" i="27"/>
  <c r="G115" i="38"/>
  <c r="D116" i="38"/>
  <c r="E122" i="19"/>
  <c r="F122" i="19" s="1"/>
  <c r="H122" i="19" s="1"/>
  <c r="I121" i="19"/>
  <c r="D120" i="24"/>
  <c r="G119" i="24"/>
  <c r="E120" i="24"/>
  <c r="J114" i="38"/>
  <c r="J118" i="24"/>
  <c r="I122" i="3"/>
  <c r="B123" i="3"/>
  <c r="B119" i="22"/>
  <c r="I118" i="22"/>
  <c r="B116" i="20"/>
  <c r="F116" i="20"/>
  <c r="E119" i="22"/>
  <c r="F119" i="22" s="1"/>
  <c r="H119" i="22" s="1"/>
  <c r="I115" i="20"/>
  <c r="H115" i="20"/>
  <c r="E123" i="23" l="1"/>
  <c r="F123" i="23" s="1"/>
  <c r="H122" i="23"/>
  <c r="G122" i="23"/>
  <c r="I122" i="23" s="1"/>
  <c r="F121" i="29"/>
  <c r="H121" i="29" s="1"/>
  <c r="F128" i="42"/>
  <c r="B128" i="42"/>
  <c r="F45" i="42"/>
  <c r="B45" i="42"/>
  <c r="H52" i="28"/>
  <c r="G52" i="28"/>
  <c r="E53" i="28"/>
  <c r="F53" i="28" s="1"/>
  <c r="E120" i="27"/>
  <c r="F120" i="27" s="1"/>
  <c r="H120" i="27" s="1"/>
  <c r="E120" i="21"/>
  <c r="F120" i="21" s="1"/>
  <c r="H120" i="21" s="1"/>
  <c r="E119" i="26"/>
  <c r="F119" i="26" s="1"/>
  <c r="H119" i="26" s="1"/>
  <c r="E116" i="38"/>
  <c r="F116" i="38" s="1"/>
  <c r="H116" i="38" s="1"/>
  <c r="B120" i="28"/>
  <c r="I46" i="20"/>
  <c r="F38" i="24"/>
  <c r="G38" i="24" s="1"/>
  <c r="B38" i="24"/>
  <c r="E116" i="13"/>
  <c r="F116" i="13" s="1"/>
  <c r="B116" i="13"/>
  <c r="H115" i="13"/>
  <c r="I115" i="13"/>
  <c r="H31" i="38"/>
  <c r="I31" i="38" s="1"/>
  <c r="H33" i="34"/>
  <c r="I33" i="34" s="1"/>
  <c r="G33" i="31"/>
  <c r="I33" i="31" s="1"/>
  <c r="G37" i="27"/>
  <c r="I37" i="27" s="1"/>
  <c r="G35" i="25"/>
  <c r="I35" i="25" s="1"/>
  <c r="D36" i="13"/>
  <c r="E36" i="13" s="1"/>
  <c r="G35" i="13"/>
  <c r="H35" i="13"/>
  <c r="D34" i="35"/>
  <c r="E34" i="35"/>
  <c r="F40" i="19"/>
  <c r="H40" i="19" s="1"/>
  <c r="B40" i="19"/>
  <c r="D33" i="37"/>
  <c r="E33" i="37"/>
  <c r="D37" i="26"/>
  <c r="E37" i="26"/>
  <c r="B38" i="21"/>
  <c r="F38" i="21"/>
  <c r="G38" i="21" s="1"/>
  <c r="H47" i="20"/>
  <c r="E48" i="20"/>
  <c r="F48" i="20" s="1"/>
  <c r="G47" i="20"/>
  <c r="B48" i="20"/>
  <c r="B37" i="22"/>
  <c r="F37" i="22"/>
  <c r="H37" i="22" s="1"/>
  <c r="H32" i="37"/>
  <c r="I32" i="37" s="1"/>
  <c r="H36" i="26"/>
  <c r="I36" i="26" s="1"/>
  <c r="I36" i="22"/>
  <c r="D34" i="34"/>
  <c r="E34" i="34"/>
  <c r="D36" i="25"/>
  <c r="E36" i="25"/>
  <c r="B40" i="18"/>
  <c r="F40" i="18"/>
  <c r="D35" i="29"/>
  <c r="E35" i="29"/>
  <c r="G33" i="35"/>
  <c r="G34" i="29"/>
  <c r="D38" i="23"/>
  <c r="E38" i="23"/>
  <c r="B42" i="3"/>
  <c r="F42" i="3"/>
  <c r="G42" i="3" s="1"/>
  <c r="H33" i="35"/>
  <c r="D34" i="31"/>
  <c r="E34" i="31"/>
  <c r="B41" i="4"/>
  <c r="F41" i="4"/>
  <c r="H34" i="29"/>
  <c r="D32" i="38"/>
  <c r="E32" i="38"/>
  <c r="I37" i="28"/>
  <c r="I41" i="3"/>
  <c r="D38" i="27"/>
  <c r="E38" i="27"/>
  <c r="G37" i="23"/>
  <c r="I37" i="23" s="1"/>
  <c r="I122" i="4"/>
  <c r="J117" i="25"/>
  <c r="E123" i="4"/>
  <c r="F123" i="4" s="1"/>
  <c r="H123" i="4" s="1"/>
  <c r="B123" i="4"/>
  <c r="E122" i="18"/>
  <c r="F122" i="18" s="1"/>
  <c r="H122" i="18" s="1"/>
  <c r="B122" i="18"/>
  <c r="I121" i="18"/>
  <c r="F116" i="31"/>
  <c r="H116" i="31" s="1"/>
  <c r="B116" i="31"/>
  <c r="B116" i="35"/>
  <c r="F116" i="35"/>
  <c r="H116" i="35" s="1"/>
  <c r="B115" i="37"/>
  <c r="F115" i="37"/>
  <c r="H115" i="37" s="1"/>
  <c r="I115" i="35"/>
  <c r="I118" i="26"/>
  <c r="I114" i="37"/>
  <c r="B119" i="26"/>
  <c r="I115" i="31"/>
  <c r="G118" i="25"/>
  <c r="D119" i="25"/>
  <c r="J120" i="29"/>
  <c r="J121" i="19"/>
  <c r="G122" i="19"/>
  <c r="D123" i="19"/>
  <c r="B120" i="21"/>
  <c r="I115" i="38"/>
  <c r="I119" i="21"/>
  <c r="I119" i="24"/>
  <c r="B120" i="27"/>
  <c r="B116" i="38"/>
  <c r="J115" i="20"/>
  <c r="J122" i="3"/>
  <c r="B116" i="34"/>
  <c r="F116" i="34"/>
  <c r="H116" i="34" s="1"/>
  <c r="I119" i="27"/>
  <c r="B120" i="24"/>
  <c r="F120" i="24"/>
  <c r="H120" i="24" s="1"/>
  <c r="I115" i="34"/>
  <c r="G119" i="22"/>
  <c r="D120" i="22"/>
  <c r="J118" i="22"/>
  <c r="D124" i="3"/>
  <c r="G123" i="3"/>
  <c r="G116" i="20"/>
  <c r="D117" i="20"/>
  <c r="J122" i="23" l="1"/>
  <c r="D124" i="23"/>
  <c r="H123" i="23"/>
  <c r="G123" i="23"/>
  <c r="I123" i="23" s="1"/>
  <c r="D122" i="29"/>
  <c r="E122" i="29" s="1"/>
  <c r="G121" i="29"/>
  <c r="I121" i="29" s="1"/>
  <c r="D46" i="42"/>
  <c r="E46" i="42" s="1"/>
  <c r="G128" i="42"/>
  <c r="D129" i="42"/>
  <c r="H53" i="28"/>
  <c r="G53" i="28"/>
  <c r="E54" i="28"/>
  <c r="F54" i="28" s="1"/>
  <c r="E123" i="19"/>
  <c r="F123" i="19" s="1"/>
  <c r="H123" i="19" s="1"/>
  <c r="E119" i="25"/>
  <c r="F119" i="25" s="1"/>
  <c r="H119" i="25" s="1"/>
  <c r="E124" i="3"/>
  <c r="F124" i="3" s="1"/>
  <c r="H124" i="3" s="1"/>
  <c r="E120" i="22"/>
  <c r="F120" i="22" s="1"/>
  <c r="H120" i="22" s="1"/>
  <c r="H38" i="24"/>
  <c r="I38" i="24" s="1"/>
  <c r="H38" i="21"/>
  <c r="I38" i="21" s="1"/>
  <c r="D39" i="24"/>
  <c r="E39" i="24"/>
  <c r="I34" i="29"/>
  <c r="J115" i="35"/>
  <c r="J118" i="26"/>
  <c r="G37" i="22"/>
  <c r="I37" i="22" s="1"/>
  <c r="J115" i="31"/>
  <c r="D117" i="13"/>
  <c r="G116" i="13"/>
  <c r="J119" i="28"/>
  <c r="J115" i="13"/>
  <c r="I33" i="35"/>
  <c r="I35" i="13"/>
  <c r="I47" i="20"/>
  <c r="G40" i="19"/>
  <c r="I40" i="19" s="1"/>
  <c r="J121" i="18"/>
  <c r="D41" i="18"/>
  <c r="E41" i="18"/>
  <c r="B49" i="20"/>
  <c r="H48" i="20"/>
  <c r="G48" i="20"/>
  <c r="E49" i="20"/>
  <c r="F49" i="20" s="1"/>
  <c r="D42" i="4"/>
  <c r="E42" i="4"/>
  <c r="H41" i="4"/>
  <c r="D43" i="3"/>
  <c r="E43" i="3"/>
  <c r="B38" i="28"/>
  <c r="B38" i="27"/>
  <c r="F38" i="27"/>
  <c r="G41" i="4"/>
  <c r="H42" i="3"/>
  <c r="I42" i="3" s="1"/>
  <c r="B36" i="25"/>
  <c r="F36" i="25"/>
  <c r="G36" i="25" s="1"/>
  <c r="B37" i="26"/>
  <c r="F37" i="26"/>
  <c r="G37" i="26" s="1"/>
  <c r="B34" i="35"/>
  <c r="F34" i="35"/>
  <c r="D38" i="22"/>
  <c r="E38" i="22"/>
  <c r="D39" i="21"/>
  <c r="E39" i="21"/>
  <c r="F35" i="29"/>
  <c r="H35" i="29" s="1"/>
  <c r="F33" i="37"/>
  <c r="G33" i="37" s="1"/>
  <c r="B33" i="37"/>
  <c r="F38" i="23"/>
  <c r="B38" i="23"/>
  <c r="H40" i="18"/>
  <c r="B34" i="34"/>
  <c r="F34" i="34"/>
  <c r="G34" i="34" s="1"/>
  <c r="J122" i="4"/>
  <c r="F32" i="38"/>
  <c r="B32" i="38"/>
  <c r="B34" i="31"/>
  <c r="F34" i="31"/>
  <c r="G40" i="18"/>
  <c r="D41" i="19"/>
  <c r="E41" i="19"/>
  <c r="F36" i="13"/>
  <c r="H36" i="13" s="1"/>
  <c r="B36" i="13"/>
  <c r="D123" i="18"/>
  <c r="G122" i="18"/>
  <c r="G123" i="4"/>
  <c r="D124" i="4"/>
  <c r="J115" i="38"/>
  <c r="G119" i="26"/>
  <c r="D120" i="26"/>
  <c r="G115" i="37"/>
  <c r="D116" i="37"/>
  <c r="E116" i="37"/>
  <c r="B119" i="25"/>
  <c r="I118" i="25"/>
  <c r="G116" i="35"/>
  <c r="D117" i="35"/>
  <c r="J114" i="37"/>
  <c r="D117" i="31"/>
  <c r="G116" i="31"/>
  <c r="D121" i="21"/>
  <c r="G120" i="21"/>
  <c r="D121" i="24"/>
  <c r="G120" i="24"/>
  <c r="J119" i="27"/>
  <c r="J119" i="24"/>
  <c r="J119" i="21"/>
  <c r="D117" i="34"/>
  <c r="G116" i="34"/>
  <c r="D117" i="38"/>
  <c r="G116" i="38"/>
  <c r="B123" i="19"/>
  <c r="J115" i="34"/>
  <c r="D121" i="27"/>
  <c r="G120" i="27"/>
  <c r="I122" i="19"/>
  <c r="B117" i="20"/>
  <c r="I119" i="22"/>
  <c r="B120" i="22"/>
  <c r="I116" i="20"/>
  <c r="H116" i="20"/>
  <c r="I123" i="3"/>
  <c r="E117" i="20"/>
  <c r="F117" i="20" s="1"/>
  <c r="B124" i="3"/>
  <c r="E124" i="23" l="1"/>
  <c r="F124" i="23" s="1"/>
  <c r="J123" i="23"/>
  <c r="F122" i="29"/>
  <c r="H122" i="29" s="1"/>
  <c r="B129" i="42"/>
  <c r="E129" i="42"/>
  <c r="F129" i="42" s="1"/>
  <c r="F46" i="42"/>
  <c r="B46" i="42"/>
  <c r="H54" i="28"/>
  <c r="G54" i="28"/>
  <c r="E55" i="28"/>
  <c r="F55" i="28" s="1"/>
  <c r="E121" i="21"/>
  <c r="F121" i="21" s="1"/>
  <c r="H121" i="21" s="1"/>
  <c r="E121" i="24"/>
  <c r="F121" i="24" s="1"/>
  <c r="H121" i="24" s="1"/>
  <c r="B124" i="4"/>
  <c r="E117" i="38"/>
  <c r="F117" i="38" s="1"/>
  <c r="H117" i="38" s="1"/>
  <c r="B117" i="31"/>
  <c r="B121" i="28"/>
  <c r="F39" i="24"/>
  <c r="G39" i="24" s="1"/>
  <c r="B39" i="24"/>
  <c r="I116" i="13"/>
  <c r="H116" i="13"/>
  <c r="E117" i="13"/>
  <c r="F117" i="13" s="1"/>
  <c r="B117" i="13"/>
  <c r="G35" i="29"/>
  <c r="I35" i="29" s="1"/>
  <c r="H33" i="37"/>
  <c r="I33" i="37" s="1"/>
  <c r="I40" i="18"/>
  <c r="H36" i="25"/>
  <c r="I36" i="25" s="1"/>
  <c r="D35" i="31"/>
  <c r="E35" i="31"/>
  <c r="D35" i="34"/>
  <c r="E35" i="34"/>
  <c r="D39" i="23"/>
  <c r="E39" i="23"/>
  <c r="B39" i="21"/>
  <c r="F39" i="21"/>
  <c r="G39" i="21" s="1"/>
  <c r="D38" i="26"/>
  <c r="E38" i="26"/>
  <c r="F42" i="4"/>
  <c r="G42" i="4" s="1"/>
  <c r="B42" i="4"/>
  <c r="J120" i="28"/>
  <c r="D37" i="13"/>
  <c r="E37" i="13" s="1"/>
  <c r="G34" i="31"/>
  <c r="H49" i="20"/>
  <c r="G49" i="20"/>
  <c r="E50" i="20"/>
  <c r="F50" i="20" s="1"/>
  <c r="B50" i="20"/>
  <c r="H34" i="34"/>
  <c r="I34" i="34" s="1"/>
  <c r="B38" i="22"/>
  <c r="F38" i="22"/>
  <c r="H37" i="26"/>
  <c r="I37" i="26" s="1"/>
  <c r="D39" i="27"/>
  <c r="E39" i="27"/>
  <c r="B41" i="19"/>
  <c r="F41" i="19"/>
  <c r="D33" i="38"/>
  <c r="E33" i="38"/>
  <c r="D34" i="37"/>
  <c r="E34" i="37"/>
  <c r="D35" i="35"/>
  <c r="E35" i="35"/>
  <c r="H38" i="27"/>
  <c r="B43" i="3"/>
  <c r="F43" i="3"/>
  <c r="H43" i="3" s="1"/>
  <c r="I48" i="20"/>
  <c r="H32" i="38"/>
  <c r="G38" i="23"/>
  <c r="I41" i="4"/>
  <c r="G32" i="38"/>
  <c r="H38" i="23"/>
  <c r="D36" i="29"/>
  <c r="E36" i="29"/>
  <c r="G34" i="35"/>
  <c r="G38" i="27"/>
  <c r="G36" i="13"/>
  <c r="I36" i="13" s="1"/>
  <c r="H34" i="31"/>
  <c r="H34" i="35"/>
  <c r="D37" i="25"/>
  <c r="E37" i="25"/>
  <c r="F41" i="18"/>
  <c r="H41" i="18" s="1"/>
  <c r="B41" i="18"/>
  <c r="J121" i="29"/>
  <c r="E124" i="4"/>
  <c r="F124" i="4" s="1"/>
  <c r="H124" i="4" s="1"/>
  <c r="I123" i="4"/>
  <c r="I122" i="18"/>
  <c r="E117" i="31"/>
  <c r="F117" i="31" s="1"/>
  <c r="D118" i="31" s="1"/>
  <c r="J118" i="25"/>
  <c r="E123" i="18"/>
  <c r="F123" i="18" s="1"/>
  <c r="H123" i="18" s="1"/>
  <c r="B123" i="18"/>
  <c r="B116" i="37"/>
  <c r="F116" i="37"/>
  <c r="H116" i="37" s="1"/>
  <c r="E117" i="35"/>
  <c r="F117" i="35" s="1"/>
  <c r="H117" i="35" s="1"/>
  <c r="B117" i="35"/>
  <c r="I115" i="37"/>
  <c r="I116" i="35"/>
  <c r="E120" i="26"/>
  <c r="F120" i="26" s="1"/>
  <c r="H120" i="26" s="1"/>
  <c r="B120" i="26"/>
  <c r="I119" i="26"/>
  <c r="I116" i="31"/>
  <c r="D120" i="25"/>
  <c r="G119" i="25"/>
  <c r="J122" i="19"/>
  <c r="I120" i="24"/>
  <c r="B117" i="34"/>
  <c r="B117" i="38"/>
  <c r="B121" i="24"/>
  <c r="B121" i="27"/>
  <c r="I116" i="38"/>
  <c r="G123" i="19"/>
  <c r="D124" i="19"/>
  <c r="E121" i="27"/>
  <c r="F121" i="27" s="1"/>
  <c r="H121" i="27" s="1"/>
  <c r="E117" i="34"/>
  <c r="F117" i="34" s="1"/>
  <c r="H117" i="34" s="1"/>
  <c r="I120" i="21"/>
  <c r="J123" i="3"/>
  <c r="J119" i="22"/>
  <c r="I120" i="27"/>
  <c r="I116" i="34"/>
  <c r="B121" i="21"/>
  <c r="G117" i="20"/>
  <c r="D118" i="20"/>
  <c r="E118" i="20" s="1"/>
  <c r="G120" i="22"/>
  <c r="D121" i="22"/>
  <c r="J116" i="20"/>
  <c r="G124" i="3"/>
  <c r="D125" i="3"/>
  <c r="H124" i="23" l="1"/>
  <c r="G124" i="23"/>
  <c r="I124" i="23" s="1"/>
  <c r="D125" i="23"/>
  <c r="E125" i="23" s="1"/>
  <c r="F125" i="23" s="1"/>
  <c r="D123" i="29"/>
  <c r="E123" i="29" s="1"/>
  <c r="G122" i="29"/>
  <c r="I122" i="29" s="1"/>
  <c r="G129" i="42"/>
  <c r="D130" i="42"/>
  <c r="E130" i="42" s="1"/>
  <c r="D47" i="42"/>
  <c r="E47" i="42" s="1"/>
  <c r="H55" i="28"/>
  <c r="G55" i="28"/>
  <c r="E56" i="28"/>
  <c r="F56" i="28" s="1"/>
  <c r="E121" i="22"/>
  <c r="F121" i="22" s="1"/>
  <c r="H121" i="22" s="1"/>
  <c r="E125" i="3"/>
  <c r="F125" i="3" s="1"/>
  <c r="H125" i="3" s="1"/>
  <c r="H117" i="31"/>
  <c r="B122" i="28"/>
  <c r="H39" i="24"/>
  <c r="I39" i="24" s="1"/>
  <c r="E40" i="24"/>
  <c r="D40" i="24"/>
  <c r="I34" i="31"/>
  <c r="G117" i="13"/>
  <c r="D118" i="13"/>
  <c r="B118" i="13" s="1"/>
  <c r="G117" i="31"/>
  <c r="I117" i="31" s="1"/>
  <c r="J116" i="13"/>
  <c r="I38" i="27"/>
  <c r="H42" i="4"/>
  <c r="I42" i="4" s="1"/>
  <c r="G43" i="3"/>
  <c r="I43" i="3" s="1"/>
  <c r="I32" i="38"/>
  <c r="D42" i="19"/>
  <c r="E42" i="19"/>
  <c r="D39" i="22"/>
  <c r="E39" i="22"/>
  <c r="I38" i="28"/>
  <c r="B39" i="28"/>
  <c r="H41" i="19"/>
  <c r="H38" i="22"/>
  <c r="B38" i="26"/>
  <c r="F38" i="26"/>
  <c r="B39" i="23"/>
  <c r="F39" i="23"/>
  <c r="G39" i="23" s="1"/>
  <c r="B35" i="35"/>
  <c r="F35" i="35"/>
  <c r="G35" i="35" s="1"/>
  <c r="G41" i="19"/>
  <c r="B37" i="13"/>
  <c r="F37" i="13"/>
  <c r="D40" i="21"/>
  <c r="E40" i="21"/>
  <c r="B35" i="34"/>
  <c r="F35" i="34"/>
  <c r="G35" i="34" s="1"/>
  <c r="D42" i="18"/>
  <c r="E42" i="18"/>
  <c r="F37" i="25"/>
  <c r="G37" i="25" s="1"/>
  <c r="B37" i="25"/>
  <c r="F36" i="29"/>
  <c r="G36" i="29" s="1"/>
  <c r="F34" i="37"/>
  <c r="H34" i="37" s="1"/>
  <c r="B34" i="37"/>
  <c r="B39" i="27"/>
  <c r="F39" i="27"/>
  <c r="B51" i="20"/>
  <c r="H50" i="20"/>
  <c r="G50" i="20"/>
  <c r="E51" i="20"/>
  <c r="F51" i="20" s="1"/>
  <c r="G41" i="18"/>
  <c r="I41" i="18" s="1"/>
  <c r="I34" i="35"/>
  <c r="I38" i="23"/>
  <c r="H39" i="21"/>
  <c r="I39" i="21" s="1"/>
  <c r="B35" i="31"/>
  <c r="F35" i="31"/>
  <c r="J123" i="4"/>
  <c r="D44" i="3"/>
  <c r="E44" i="3"/>
  <c r="B33" i="38"/>
  <c r="F33" i="38"/>
  <c r="G33" i="38" s="1"/>
  <c r="G38" i="22"/>
  <c r="I49" i="20"/>
  <c r="D43" i="4"/>
  <c r="E43" i="4"/>
  <c r="J116" i="38"/>
  <c r="J120" i="24"/>
  <c r="J122" i="18"/>
  <c r="G123" i="18"/>
  <c r="D124" i="18"/>
  <c r="J116" i="35"/>
  <c r="D125" i="4"/>
  <c r="G124" i="4"/>
  <c r="D118" i="35"/>
  <c r="G117" i="35"/>
  <c r="J119" i="26"/>
  <c r="J115" i="37"/>
  <c r="I119" i="25"/>
  <c r="E118" i="31"/>
  <c r="F118" i="31" s="1"/>
  <c r="H118" i="31" s="1"/>
  <c r="B118" i="31"/>
  <c r="E120" i="25"/>
  <c r="F120" i="25" s="1"/>
  <c r="H120" i="25" s="1"/>
  <c r="B120" i="25"/>
  <c r="G120" i="26"/>
  <c r="D121" i="26"/>
  <c r="J120" i="21"/>
  <c r="G116" i="37"/>
  <c r="D117" i="37"/>
  <c r="J116" i="31"/>
  <c r="J116" i="34"/>
  <c r="G121" i="27"/>
  <c r="D122" i="27"/>
  <c r="G117" i="38"/>
  <c r="D118" i="38"/>
  <c r="J120" i="27"/>
  <c r="B124" i="19"/>
  <c r="G117" i="34"/>
  <c r="D118" i="34"/>
  <c r="I123" i="19"/>
  <c r="D122" i="24"/>
  <c r="G121" i="24"/>
  <c r="D122" i="21"/>
  <c r="G121" i="21"/>
  <c r="E124" i="19"/>
  <c r="F124" i="19" s="1"/>
  <c r="H124" i="19" s="1"/>
  <c r="B121" i="22"/>
  <c r="B125" i="3"/>
  <c r="I120" i="22"/>
  <c r="F118" i="20"/>
  <c r="B118" i="20"/>
  <c r="I117" i="20"/>
  <c r="H117" i="20"/>
  <c r="I124" i="3"/>
  <c r="J124" i="23" l="1"/>
  <c r="D126" i="23"/>
  <c r="E126" i="23" s="1"/>
  <c r="F126" i="23" s="1"/>
  <c r="H125" i="23"/>
  <c r="G125" i="23"/>
  <c r="I125" i="23" s="1"/>
  <c r="F123" i="29"/>
  <c r="H123" i="29" s="1"/>
  <c r="B130" i="42"/>
  <c r="F130" i="42"/>
  <c r="F47" i="42"/>
  <c r="B47" i="42"/>
  <c r="H56" i="28"/>
  <c r="G56" i="28"/>
  <c r="E57" i="28"/>
  <c r="F57" i="28" s="1"/>
  <c r="E122" i="24"/>
  <c r="F122" i="24" s="1"/>
  <c r="H122" i="24" s="1"/>
  <c r="B121" i="26"/>
  <c r="E122" i="27"/>
  <c r="F122" i="27" s="1"/>
  <c r="H122" i="27" s="1"/>
  <c r="E122" i="21"/>
  <c r="F122" i="21" s="1"/>
  <c r="H122" i="21" s="1"/>
  <c r="E124" i="18"/>
  <c r="F124" i="18" s="1"/>
  <c r="H124" i="18" s="1"/>
  <c r="E118" i="38"/>
  <c r="F118" i="38" s="1"/>
  <c r="H118" i="38" s="1"/>
  <c r="E118" i="35"/>
  <c r="F118" i="35" s="1"/>
  <c r="H118" i="35" s="1"/>
  <c r="E118" i="34"/>
  <c r="F118" i="34" s="1"/>
  <c r="H118" i="34" s="1"/>
  <c r="B40" i="24"/>
  <c r="F40" i="24"/>
  <c r="H40" i="24" s="1"/>
  <c r="E118" i="13"/>
  <c r="F118" i="13" s="1"/>
  <c r="G118" i="13" s="1"/>
  <c r="H118" i="13" s="1"/>
  <c r="H39" i="23"/>
  <c r="I39" i="23" s="1"/>
  <c r="J119" i="25"/>
  <c r="I117" i="13"/>
  <c r="H117" i="13"/>
  <c r="G34" i="37"/>
  <c r="I34" i="37" s="1"/>
  <c r="H37" i="25"/>
  <c r="I37" i="25" s="1"/>
  <c r="H36" i="29"/>
  <c r="I36" i="29" s="1"/>
  <c r="F43" i="4"/>
  <c r="H43" i="4" s="1"/>
  <c r="B43" i="4"/>
  <c r="B44" i="3"/>
  <c r="F44" i="3"/>
  <c r="D38" i="13"/>
  <c r="E38" i="13" s="1"/>
  <c r="D39" i="26"/>
  <c r="E39" i="26"/>
  <c r="D40" i="27"/>
  <c r="E40" i="27"/>
  <c r="B42" i="18"/>
  <c r="F42" i="18"/>
  <c r="H37" i="13"/>
  <c r="D37" i="29"/>
  <c r="E37" i="29"/>
  <c r="D36" i="34"/>
  <c r="E36" i="34"/>
  <c r="G37" i="13"/>
  <c r="I38" i="22"/>
  <c r="D36" i="31"/>
  <c r="E36" i="31"/>
  <c r="H39" i="27"/>
  <c r="I41" i="19"/>
  <c r="D34" i="38"/>
  <c r="E34" i="38"/>
  <c r="G39" i="27"/>
  <c r="D40" i="23"/>
  <c r="E40" i="23"/>
  <c r="H35" i="31"/>
  <c r="H51" i="20"/>
  <c r="G51" i="20"/>
  <c r="E52" i="20"/>
  <c r="F52" i="20" s="1"/>
  <c r="B52" i="20"/>
  <c r="H35" i="34"/>
  <c r="I35" i="34" s="1"/>
  <c r="D36" i="35"/>
  <c r="E36" i="35"/>
  <c r="B39" i="22"/>
  <c r="F39" i="22"/>
  <c r="G39" i="22" s="1"/>
  <c r="H33" i="38"/>
  <c r="I33" i="38" s="1"/>
  <c r="G35" i="31"/>
  <c r="H38" i="26"/>
  <c r="J117" i="31"/>
  <c r="I50" i="20"/>
  <c r="D35" i="37"/>
  <c r="E35" i="37"/>
  <c r="D38" i="25"/>
  <c r="E38" i="25"/>
  <c r="F40" i="21"/>
  <c r="B40" i="21"/>
  <c r="H35" i="35"/>
  <c r="I35" i="35" s="1"/>
  <c r="G38" i="26"/>
  <c r="I39" i="28"/>
  <c r="F42" i="19"/>
  <c r="G42" i="19" s="1"/>
  <c r="B42" i="19"/>
  <c r="E125" i="4"/>
  <c r="F125" i="4" s="1"/>
  <c r="H125" i="4" s="1"/>
  <c r="B125" i="4"/>
  <c r="I123" i="18"/>
  <c r="B124" i="18"/>
  <c r="J121" i="28"/>
  <c r="I124" i="4"/>
  <c r="D121" i="25"/>
  <c r="G120" i="25"/>
  <c r="I116" i="37"/>
  <c r="G118" i="31"/>
  <c r="D119" i="31"/>
  <c r="E121" i="26"/>
  <c r="F121" i="26" s="1"/>
  <c r="H121" i="26" s="1"/>
  <c r="I120" i="26"/>
  <c r="I117" i="35"/>
  <c r="E117" i="37"/>
  <c r="F117" i="37" s="1"/>
  <c r="H117" i="37" s="1"/>
  <c r="B117" i="37"/>
  <c r="B118" i="35"/>
  <c r="G124" i="19"/>
  <c r="D125" i="19"/>
  <c r="B118" i="34"/>
  <c r="B118" i="38"/>
  <c r="I121" i="24"/>
  <c r="I117" i="34"/>
  <c r="I117" i="38"/>
  <c r="I121" i="21"/>
  <c r="B122" i="24"/>
  <c r="B122" i="21"/>
  <c r="J123" i="19"/>
  <c r="B122" i="27"/>
  <c r="J122" i="29"/>
  <c r="I121" i="27"/>
  <c r="J120" i="22"/>
  <c r="J117" i="20"/>
  <c r="D122" i="22"/>
  <c r="G121" i="22"/>
  <c r="D126" i="3"/>
  <c r="G125" i="3"/>
  <c r="J124" i="3"/>
  <c r="G118" i="20"/>
  <c r="D119" i="20"/>
  <c r="E119" i="20" s="1"/>
  <c r="H126" i="23" l="1"/>
  <c r="G126" i="23"/>
  <c r="I126" i="23" s="1"/>
  <c r="J125" i="23"/>
  <c r="D124" i="29"/>
  <c r="E124" i="29" s="1"/>
  <c r="F124" i="29" s="1"/>
  <c r="H124" i="29" s="1"/>
  <c r="G123" i="29"/>
  <c r="I123" i="29" s="1"/>
  <c r="D127" i="23"/>
  <c r="E127" i="23" s="1"/>
  <c r="F127" i="23" s="1"/>
  <c r="H127" i="23" s="1"/>
  <c r="G130" i="42"/>
  <c r="D131" i="42"/>
  <c r="E131" i="42" s="1"/>
  <c r="D48" i="42"/>
  <c r="H57" i="28"/>
  <c r="G57" i="28"/>
  <c r="E58" i="28"/>
  <c r="F58" i="28" s="1"/>
  <c r="E121" i="25"/>
  <c r="F121" i="25" s="1"/>
  <c r="H121" i="25" s="1"/>
  <c r="E126" i="3"/>
  <c r="F126" i="3" s="1"/>
  <c r="H126" i="3" s="1"/>
  <c r="G40" i="24"/>
  <c r="I40" i="24" s="1"/>
  <c r="D41" i="24"/>
  <c r="E41" i="24"/>
  <c r="I118" i="13"/>
  <c r="J118" i="13" s="1"/>
  <c r="D119" i="13"/>
  <c r="J121" i="27"/>
  <c r="J123" i="18"/>
  <c r="J116" i="37"/>
  <c r="J117" i="13"/>
  <c r="G43" i="4"/>
  <c r="I43" i="4" s="1"/>
  <c r="H39" i="22"/>
  <c r="I39" i="22" s="1"/>
  <c r="I39" i="27"/>
  <c r="J124" i="4"/>
  <c r="D41" i="21"/>
  <c r="E41" i="21"/>
  <c r="B36" i="35"/>
  <c r="F36" i="35"/>
  <c r="G36" i="35" s="1"/>
  <c r="D43" i="18"/>
  <c r="E43" i="18"/>
  <c r="D45" i="3"/>
  <c r="E45" i="3"/>
  <c r="D43" i="19"/>
  <c r="E43" i="19"/>
  <c r="H44" i="3"/>
  <c r="B38" i="25"/>
  <c r="F38" i="25"/>
  <c r="G38" i="25" s="1"/>
  <c r="F36" i="34"/>
  <c r="H36" i="34" s="1"/>
  <c r="B36" i="34"/>
  <c r="G44" i="3"/>
  <c r="E53" i="20"/>
  <c r="F53" i="20" s="1"/>
  <c r="G52" i="20"/>
  <c r="H52" i="20"/>
  <c r="B53" i="20"/>
  <c r="F40" i="27"/>
  <c r="H40" i="27" s="1"/>
  <c r="B40" i="27"/>
  <c r="B35" i="37"/>
  <c r="F35" i="37"/>
  <c r="H35" i="37" s="1"/>
  <c r="F40" i="23"/>
  <c r="B40" i="23"/>
  <c r="F36" i="31"/>
  <c r="H36" i="31" s="1"/>
  <c r="B36" i="31"/>
  <c r="F37" i="29"/>
  <c r="H37" i="29" s="1"/>
  <c r="D40" i="22"/>
  <c r="E40" i="22"/>
  <c r="I51" i="20"/>
  <c r="I37" i="13"/>
  <c r="F39" i="26"/>
  <c r="H39" i="26" s="1"/>
  <c r="B39" i="26"/>
  <c r="H40" i="21"/>
  <c r="I35" i="31"/>
  <c r="B40" i="28"/>
  <c r="G42" i="18"/>
  <c r="H42" i="19"/>
  <c r="I42" i="19" s="1"/>
  <c r="G40" i="21"/>
  <c r="I38" i="26"/>
  <c r="F34" i="38"/>
  <c r="G34" i="38" s="1"/>
  <c r="B34" i="38"/>
  <c r="H42" i="18"/>
  <c r="F38" i="13"/>
  <c r="H38" i="13" s="1"/>
  <c r="B38" i="13"/>
  <c r="D44" i="4"/>
  <c r="E44" i="4"/>
  <c r="G124" i="18"/>
  <c r="D125" i="18"/>
  <c r="G125" i="4"/>
  <c r="D126" i="4"/>
  <c r="J117" i="35"/>
  <c r="D118" i="37"/>
  <c r="G117" i="37"/>
  <c r="G121" i="26"/>
  <c r="D122" i="26"/>
  <c r="E119" i="31"/>
  <c r="F119" i="31" s="1"/>
  <c r="H119" i="31" s="1"/>
  <c r="B119" i="31"/>
  <c r="I118" i="31"/>
  <c r="B123" i="28"/>
  <c r="G118" i="35"/>
  <c r="D119" i="35"/>
  <c r="I120" i="25"/>
  <c r="J117" i="38"/>
  <c r="J120" i="26"/>
  <c r="B121" i="25"/>
  <c r="J121" i="21"/>
  <c r="J121" i="24"/>
  <c r="D119" i="38"/>
  <c r="G118" i="38"/>
  <c r="B125" i="19"/>
  <c r="G122" i="24"/>
  <c r="D123" i="24"/>
  <c r="J117" i="34"/>
  <c r="D119" i="34"/>
  <c r="G118" i="34"/>
  <c r="I124" i="19"/>
  <c r="E125" i="19"/>
  <c r="F125" i="19" s="1"/>
  <c r="H125" i="19" s="1"/>
  <c r="G122" i="27"/>
  <c r="D123" i="27"/>
  <c r="G122" i="21"/>
  <c r="D123" i="21"/>
  <c r="I125" i="3"/>
  <c r="I121" i="22"/>
  <c r="B126" i="3"/>
  <c r="B122" i="22"/>
  <c r="B119" i="20"/>
  <c r="F119" i="20"/>
  <c r="H118" i="20"/>
  <c r="I118" i="20"/>
  <c r="E122" i="22"/>
  <c r="F122" i="22" s="1"/>
  <c r="H122" i="22" s="1"/>
  <c r="B48" i="42" l="1"/>
  <c r="F131" i="42"/>
  <c r="B131" i="42"/>
  <c r="E48" i="42"/>
  <c r="F48" i="42" s="1"/>
  <c r="H58" i="28"/>
  <c r="G58" i="28"/>
  <c r="E59" i="28"/>
  <c r="F59" i="28" s="1"/>
  <c r="E123" i="21"/>
  <c r="F123" i="21" s="1"/>
  <c r="H123" i="21" s="1"/>
  <c r="B125" i="18"/>
  <c r="E119" i="38"/>
  <c r="F119" i="38" s="1"/>
  <c r="H119" i="38" s="1"/>
  <c r="E119" i="35"/>
  <c r="F119" i="35" s="1"/>
  <c r="H119" i="35" s="1"/>
  <c r="E119" i="34"/>
  <c r="F119" i="34" s="1"/>
  <c r="H119" i="34" s="1"/>
  <c r="H36" i="35"/>
  <c r="I36" i="35" s="1"/>
  <c r="I42" i="18"/>
  <c r="F41" i="24"/>
  <c r="H41" i="24" s="1"/>
  <c r="B41" i="24"/>
  <c r="E119" i="13"/>
  <c r="F119" i="13" s="1"/>
  <c r="B119" i="13"/>
  <c r="G37" i="29"/>
  <c r="I37" i="29" s="1"/>
  <c r="G36" i="34"/>
  <c r="I36" i="34" s="1"/>
  <c r="J118" i="31"/>
  <c r="J124" i="19"/>
  <c r="G39" i="26"/>
  <c r="I39" i="26" s="1"/>
  <c r="H34" i="38"/>
  <c r="I34" i="38" s="1"/>
  <c r="G35" i="37"/>
  <c r="I35" i="37" s="1"/>
  <c r="J126" i="23"/>
  <c r="G40" i="27"/>
  <c r="I40" i="27" s="1"/>
  <c r="D39" i="13"/>
  <c r="D37" i="31"/>
  <c r="E37" i="31"/>
  <c r="B54" i="20"/>
  <c r="G53" i="20"/>
  <c r="H53" i="20"/>
  <c r="E54" i="20"/>
  <c r="F54" i="20" s="1"/>
  <c r="D39" i="25"/>
  <c r="E39" i="25"/>
  <c r="B43" i="18"/>
  <c r="F43" i="18"/>
  <c r="H43" i="18" s="1"/>
  <c r="I40" i="21"/>
  <c r="B40" i="22"/>
  <c r="F40" i="22"/>
  <c r="D41" i="23"/>
  <c r="E41" i="23"/>
  <c r="I44" i="3"/>
  <c r="G40" i="23"/>
  <c r="D37" i="35"/>
  <c r="E37" i="35"/>
  <c r="B44" i="4"/>
  <c r="F44" i="4"/>
  <c r="H44" i="4" s="1"/>
  <c r="D38" i="29"/>
  <c r="E38" i="29"/>
  <c r="H40" i="23"/>
  <c r="D41" i="27"/>
  <c r="E41" i="27"/>
  <c r="F43" i="19"/>
  <c r="H43" i="19" s="1"/>
  <c r="B43" i="19"/>
  <c r="G38" i="13"/>
  <c r="I38" i="13" s="1"/>
  <c r="D35" i="38"/>
  <c r="E35" i="38"/>
  <c r="D40" i="26"/>
  <c r="E40" i="26"/>
  <c r="D36" i="37"/>
  <c r="E36" i="37"/>
  <c r="D37" i="34"/>
  <c r="E37" i="34"/>
  <c r="G36" i="31"/>
  <c r="I36" i="31" s="1"/>
  <c r="I52" i="20"/>
  <c r="H38" i="25"/>
  <c r="I38" i="25" s="1"/>
  <c r="F45" i="3"/>
  <c r="H45" i="3" s="1"/>
  <c r="B45" i="3"/>
  <c r="F41" i="21"/>
  <c r="G41" i="21" s="1"/>
  <c r="B41" i="21"/>
  <c r="J123" i="29"/>
  <c r="E126" i="4"/>
  <c r="F126" i="4" s="1"/>
  <c r="H126" i="4" s="1"/>
  <c r="B126" i="4"/>
  <c r="I125" i="4"/>
  <c r="E125" i="18"/>
  <c r="F125" i="18" s="1"/>
  <c r="H125" i="18" s="1"/>
  <c r="J120" i="25"/>
  <c r="I124" i="18"/>
  <c r="J122" i="28"/>
  <c r="D122" i="25"/>
  <c r="G121" i="25"/>
  <c r="B119" i="35"/>
  <c r="G119" i="31"/>
  <c r="D120" i="31"/>
  <c r="I118" i="35"/>
  <c r="E122" i="26"/>
  <c r="F122" i="26" s="1"/>
  <c r="H122" i="26" s="1"/>
  <c r="B122" i="26"/>
  <c r="I121" i="26"/>
  <c r="I117" i="37"/>
  <c r="E118" i="37"/>
  <c r="F118" i="37" s="1"/>
  <c r="H118" i="37" s="1"/>
  <c r="B118" i="37"/>
  <c r="I122" i="27"/>
  <c r="I122" i="24"/>
  <c r="G124" i="29"/>
  <c r="D125" i="29"/>
  <c r="D126" i="19"/>
  <c r="G125" i="19"/>
  <c r="B119" i="38"/>
  <c r="B123" i="27"/>
  <c r="I118" i="38"/>
  <c r="I118" i="34"/>
  <c r="B119" i="34"/>
  <c r="I122" i="21"/>
  <c r="B123" i="24"/>
  <c r="J118" i="20"/>
  <c r="J125" i="3"/>
  <c r="B123" i="21"/>
  <c r="E123" i="27"/>
  <c r="F123" i="27" s="1"/>
  <c r="H123" i="27" s="1"/>
  <c r="E123" i="24"/>
  <c r="F123" i="24" s="1"/>
  <c r="H123" i="24" s="1"/>
  <c r="G122" i="22"/>
  <c r="D123" i="22"/>
  <c r="D128" i="23"/>
  <c r="G127" i="23"/>
  <c r="D120" i="20"/>
  <c r="E120" i="20" s="1"/>
  <c r="G119" i="20"/>
  <c r="D127" i="3"/>
  <c r="G126" i="3"/>
  <c r="J121" i="22"/>
  <c r="D49" i="42" l="1"/>
  <c r="E49" i="42" s="1"/>
  <c r="D132" i="42"/>
  <c r="E132" i="42" s="1"/>
  <c r="G131" i="42"/>
  <c r="H59" i="28"/>
  <c r="G59" i="28"/>
  <c r="E60" i="28"/>
  <c r="F60" i="28" s="1"/>
  <c r="E122" i="25"/>
  <c r="F122" i="25" s="1"/>
  <c r="H122" i="25" s="1"/>
  <c r="E126" i="19"/>
  <c r="F126" i="19" s="1"/>
  <c r="H126" i="19" s="1"/>
  <c r="E127" i="3"/>
  <c r="F127" i="3" s="1"/>
  <c r="H127" i="3" s="1"/>
  <c r="B120" i="31"/>
  <c r="I53" i="20"/>
  <c r="G41" i="24"/>
  <c r="I41" i="24" s="1"/>
  <c r="E42" i="24"/>
  <c r="D42" i="24"/>
  <c r="D120" i="13"/>
  <c r="G119" i="13"/>
  <c r="J118" i="35"/>
  <c r="H41" i="21"/>
  <c r="I41" i="21" s="1"/>
  <c r="I40" i="23"/>
  <c r="G45" i="3"/>
  <c r="I45" i="3" s="1"/>
  <c r="G43" i="18"/>
  <c r="I43" i="18" s="1"/>
  <c r="F41" i="27"/>
  <c r="G41" i="27" s="1"/>
  <c r="B41" i="27"/>
  <c r="F41" i="23"/>
  <c r="B41" i="23"/>
  <c r="B35" i="38"/>
  <c r="F35" i="38"/>
  <c r="G35" i="38" s="1"/>
  <c r="D41" i="22"/>
  <c r="E41" i="22"/>
  <c r="B37" i="31"/>
  <c r="F37" i="31"/>
  <c r="H37" i="31" s="1"/>
  <c r="B37" i="34"/>
  <c r="F37" i="34"/>
  <c r="G37" i="34" s="1"/>
  <c r="F37" i="35"/>
  <c r="G37" i="35" s="1"/>
  <c r="B37" i="35"/>
  <c r="F38" i="29"/>
  <c r="G38" i="29" s="1"/>
  <c r="G40" i="22"/>
  <c r="B39" i="25"/>
  <c r="F39" i="25"/>
  <c r="D42" i="21"/>
  <c r="E42" i="21"/>
  <c r="B36" i="37"/>
  <c r="F36" i="37"/>
  <c r="H36" i="37" s="1"/>
  <c r="H40" i="22"/>
  <c r="B55" i="20"/>
  <c r="G54" i="20"/>
  <c r="E55" i="20"/>
  <c r="F55" i="20" s="1"/>
  <c r="H54" i="20"/>
  <c r="B41" i="28"/>
  <c r="D44" i="19"/>
  <c r="E44" i="19"/>
  <c r="D45" i="4"/>
  <c r="E45" i="4"/>
  <c r="B39" i="13"/>
  <c r="J121" i="26"/>
  <c r="F40" i="26"/>
  <c r="G40" i="26" s="1"/>
  <c r="B40" i="26"/>
  <c r="G43" i="19"/>
  <c r="I43" i="19" s="1"/>
  <c r="G44" i="4"/>
  <c r="I44" i="4" s="1"/>
  <c r="E39" i="13"/>
  <c r="F39" i="13" s="1"/>
  <c r="J122" i="27"/>
  <c r="D46" i="3"/>
  <c r="E46" i="3"/>
  <c r="I40" i="28"/>
  <c r="D44" i="18"/>
  <c r="E44" i="18"/>
  <c r="D126" i="18"/>
  <c r="G125" i="18"/>
  <c r="J118" i="38"/>
  <c r="J117" i="37"/>
  <c r="J125" i="4"/>
  <c r="G126" i="4"/>
  <c r="D127" i="4"/>
  <c r="J124" i="18"/>
  <c r="G118" i="37"/>
  <c r="D119" i="37"/>
  <c r="I119" i="31"/>
  <c r="B124" i="28"/>
  <c r="E120" i="31"/>
  <c r="F120" i="31" s="1"/>
  <c r="H120" i="31" s="1"/>
  <c r="G122" i="26"/>
  <c r="D123" i="26"/>
  <c r="D120" i="35"/>
  <c r="G119" i="35"/>
  <c r="I121" i="25"/>
  <c r="B122" i="25"/>
  <c r="J122" i="21"/>
  <c r="D124" i="24"/>
  <c r="G123" i="24"/>
  <c r="G123" i="27"/>
  <c r="D124" i="27"/>
  <c r="I124" i="29"/>
  <c r="D120" i="38"/>
  <c r="G119" i="38"/>
  <c r="I125" i="19"/>
  <c r="J122" i="24"/>
  <c r="J118" i="34"/>
  <c r="B126" i="19"/>
  <c r="D124" i="21"/>
  <c r="G123" i="21"/>
  <c r="D120" i="34"/>
  <c r="G119" i="34"/>
  <c r="E125" i="29"/>
  <c r="F125" i="29" s="1"/>
  <c r="H125" i="29" s="1"/>
  <c r="H119" i="20"/>
  <c r="I119" i="20"/>
  <c r="B123" i="22"/>
  <c r="F120" i="20"/>
  <c r="B120" i="20"/>
  <c r="I126" i="3"/>
  <c r="I122" i="22"/>
  <c r="E128" i="23"/>
  <c r="F128" i="23" s="1"/>
  <c r="H128" i="23" s="1"/>
  <c r="B127" i="3"/>
  <c r="I127" i="23"/>
  <c r="E123" i="22"/>
  <c r="F123" i="22" s="1"/>
  <c r="H123" i="22" s="1"/>
  <c r="F132" i="42" l="1"/>
  <c r="B132" i="42"/>
  <c r="B49" i="42"/>
  <c r="F49" i="42"/>
  <c r="H60" i="28"/>
  <c r="G60" i="28"/>
  <c r="E61" i="28"/>
  <c r="F61" i="28" s="1"/>
  <c r="E124" i="24"/>
  <c r="F124" i="24" s="1"/>
  <c r="H124" i="24" s="1"/>
  <c r="E124" i="27"/>
  <c r="F124" i="27" s="1"/>
  <c r="H124" i="27" s="1"/>
  <c r="B123" i="26"/>
  <c r="E124" i="21"/>
  <c r="F124" i="21" s="1"/>
  <c r="H124" i="21" s="1"/>
  <c r="E126" i="18"/>
  <c r="F126" i="18" s="1"/>
  <c r="H126" i="18" s="1"/>
  <c r="B127" i="4"/>
  <c r="E119" i="37"/>
  <c r="F119" i="37" s="1"/>
  <c r="H119" i="37" s="1"/>
  <c r="B120" i="35"/>
  <c r="E120" i="34"/>
  <c r="F120" i="34" s="1"/>
  <c r="H120" i="34" s="1"/>
  <c r="I40" i="22"/>
  <c r="F42" i="24"/>
  <c r="G42" i="24" s="1"/>
  <c r="B42" i="24"/>
  <c r="H119" i="13"/>
  <c r="I119" i="13"/>
  <c r="E120" i="13"/>
  <c r="F120" i="13" s="1"/>
  <c r="B120" i="13"/>
  <c r="H37" i="35"/>
  <c r="I37" i="35" s="1"/>
  <c r="H40" i="26"/>
  <c r="I40" i="26" s="1"/>
  <c r="H41" i="27"/>
  <c r="I41" i="27" s="1"/>
  <c r="D40" i="13"/>
  <c r="E40" i="13" s="1"/>
  <c r="G39" i="13"/>
  <c r="H39" i="13"/>
  <c r="B56" i="20"/>
  <c r="G55" i="20"/>
  <c r="E56" i="20"/>
  <c r="F56" i="20" s="1"/>
  <c r="H55" i="20"/>
  <c r="H38" i="29"/>
  <c r="I38" i="29" s="1"/>
  <c r="F41" i="22"/>
  <c r="G41" i="22" s="1"/>
  <c r="B41" i="22"/>
  <c r="D42" i="23"/>
  <c r="E42" i="23"/>
  <c r="F44" i="19"/>
  <c r="H44" i="19" s="1"/>
  <c r="B44" i="19"/>
  <c r="D38" i="34"/>
  <c r="E38" i="34"/>
  <c r="B42" i="21"/>
  <c r="F42" i="21"/>
  <c r="G42" i="21" s="1"/>
  <c r="D36" i="38"/>
  <c r="E36" i="38"/>
  <c r="D39" i="29"/>
  <c r="E39" i="29"/>
  <c r="B44" i="18"/>
  <c r="F44" i="18"/>
  <c r="H44" i="18" s="1"/>
  <c r="D40" i="25"/>
  <c r="E40" i="25"/>
  <c r="H39" i="25"/>
  <c r="D38" i="31"/>
  <c r="E38" i="31"/>
  <c r="H35" i="38"/>
  <c r="I35" i="38" s="1"/>
  <c r="D37" i="37"/>
  <c r="E37" i="37"/>
  <c r="G37" i="31"/>
  <c r="I37" i="31" s="1"/>
  <c r="G41" i="23"/>
  <c r="D42" i="27"/>
  <c r="E42" i="27"/>
  <c r="J119" i="20"/>
  <c r="D41" i="26"/>
  <c r="E41" i="26"/>
  <c r="G36" i="37"/>
  <c r="I36" i="37" s="1"/>
  <c r="G39" i="25"/>
  <c r="D38" i="35"/>
  <c r="E38" i="35"/>
  <c r="H41" i="23"/>
  <c r="F46" i="3"/>
  <c r="H46" i="3" s="1"/>
  <c r="B46" i="3"/>
  <c r="F45" i="4"/>
  <c r="G45" i="4" s="1"/>
  <c r="B45" i="4"/>
  <c r="I54" i="20"/>
  <c r="H37" i="34"/>
  <c r="I37" i="34" s="1"/>
  <c r="E123" i="26"/>
  <c r="F123" i="26" s="1"/>
  <c r="D124" i="26" s="1"/>
  <c r="I126" i="4"/>
  <c r="E120" i="35"/>
  <c r="F120" i="35" s="1"/>
  <c r="D121" i="35" s="1"/>
  <c r="I125" i="18"/>
  <c r="J119" i="31"/>
  <c r="E127" i="4"/>
  <c r="F127" i="4" s="1"/>
  <c r="H127" i="4" s="1"/>
  <c r="B126" i="18"/>
  <c r="I119" i="35"/>
  <c r="G122" i="25"/>
  <c r="D123" i="25"/>
  <c r="J123" i="28"/>
  <c r="I122" i="26"/>
  <c r="D121" i="31"/>
  <c r="G120" i="31"/>
  <c r="B119" i="37"/>
  <c r="J121" i="25"/>
  <c r="I118" i="37"/>
  <c r="I119" i="34"/>
  <c r="G125" i="29"/>
  <c r="D126" i="29"/>
  <c r="B120" i="34"/>
  <c r="J125" i="19"/>
  <c r="B124" i="27"/>
  <c r="J122" i="22"/>
  <c r="I119" i="38"/>
  <c r="I123" i="27"/>
  <c r="G126" i="19"/>
  <c r="D127" i="19"/>
  <c r="B120" i="38"/>
  <c r="J127" i="23"/>
  <c r="I123" i="21"/>
  <c r="E120" i="38"/>
  <c r="F120" i="38" s="1"/>
  <c r="H120" i="38" s="1"/>
  <c r="J124" i="29"/>
  <c r="I123" i="24"/>
  <c r="J126" i="3"/>
  <c r="B124" i="21"/>
  <c r="B124" i="24"/>
  <c r="D129" i="23"/>
  <c r="G128" i="23"/>
  <c r="G123" i="22"/>
  <c r="D124" i="22"/>
  <c r="G127" i="3"/>
  <c r="D128" i="3"/>
  <c r="G120" i="20"/>
  <c r="D121" i="20"/>
  <c r="D50" i="42" l="1"/>
  <c r="E50" i="42" s="1"/>
  <c r="D133" i="42"/>
  <c r="G132" i="42"/>
  <c r="H61" i="28"/>
  <c r="G61" i="28"/>
  <c r="E62" i="28"/>
  <c r="F62" i="28" s="1"/>
  <c r="H123" i="26"/>
  <c r="E127" i="19"/>
  <c r="F127" i="19" s="1"/>
  <c r="H127" i="19" s="1"/>
  <c r="E128" i="3"/>
  <c r="F128" i="3" s="1"/>
  <c r="H128" i="3" s="1"/>
  <c r="E129" i="23"/>
  <c r="F129" i="23" s="1"/>
  <c r="H129" i="23" s="1"/>
  <c r="E124" i="22"/>
  <c r="F124" i="22" s="1"/>
  <c r="H124" i="22" s="1"/>
  <c r="H120" i="35"/>
  <c r="E121" i="31"/>
  <c r="F121" i="31" s="1"/>
  <c r="H121" i="31" s="1"/>
  <c r="E126" i="29"/>
  <c r="F126" i="29" s="1"/>
  <c r="H126" i="29" s="1"/>
  <c r="J119" i="13"/>
  <c r="H42" i="24"/>
  <c r="I42" i="24" s="1"/>
  <c r="E43" i="24"/>
  <c r="D43" i="24"/>
  <c r="D121" i="13"/>
  <c r="G120" i="13"/>
  <c r="G120" i="35"/>
  <c r="I55" i="20"/>
  <c r="I39" i="13"/>
  <c r="H41" i="22"/>
  <c r="I41" i="22" s="1"/>
  <c r="H45" i="4"/>
  <c r="I45" i="4" s="1"/>
  <c r="J125" i="18"/>
  <c r="G44" i="18"/>
  <c r="I44" i="18" s="1"/>
  <c r="H42" i="21"/>
  <c r="I42" i="21" s="1"/>
  <c r="G44" i="19"/>
  <c r="I44" i="19" s="1"/>
  <c r="I41" i="28"/>
  <c r="I41" i="23"/>
  <c r="D47" i="3"/>
  <c r="E47" i="3"/>
  <c r="B37" i="37"/>
  <c r="F37" i="37"/>
  <c r="G37" i="37" s="1"/>
  <c r="B41" i="26"/>
  <c r="F41" i="26"/>
  <c r="H41" i="26" s="1"/>
  <c r="F42" i="23"/>
  <c r="H42" i="23" s="1"/>
  <c r="B42" i="23"/>
  <c r="G56" i="20"/>
  <c r="B57" i="20"/>
  <c r="E57" i="20"/>
  <c r="F57" i="20" s="1"/>
  <c r="H56" i="20"/>
  <c r="J126" i="4"/>
  <c r="F40" i="25"/>
  <c r="G40" i="25" s="1"/>
  <c r="B40" i="25"/>
  <c r="F39" i="29"/>
  <c r="H39" i="29" s="1"/>
  <c r="B38" i="34"/>
  <c r="F38" i="34"/>
  <c r="H38" i="34" s="1"/>
  <c r="G123" i="26"/>
  <c r="I123" i="26" s="1"/>
  <c r="B38" i="35"/>
  <c r="F38" i="35"/>
  <c r="G38" i="35" s="1"/>
  <c r="B42" i="27"/>
  <c r="F42" i="27"/>
  <c r="D46" i="4"/>
  <c r="E46" i="4"/>
  <c r="B42" i="28"/>
  <c r="B36" i="38"/>
  <c r="F36" i="38"/>
  <c r="H36" i="38" s="1"/>
  <c r="D42" i="22"/>
  <c r="E42" i="22"/>
  <c r="G46" i="3"/>
  <c r="I46" i="3" s="1"/>
  <c r="B38" i="31"/>
  <c r="F38" i="31"/>
  <c r="G38" i="31" s="1"/>
  <c r="I39" i="25"/>
  <c r="D45" i="18"/>
  <c r="E45" i="18"/>
  <c r="D43" i="21"/>
  <c r="E43" i="21"/>
  <c r="D45" i="19"/>
  <c r="E45" i="19"/>
  <c r="B40" i="13"/>
  <c r="F40" i="13"/>
  <c r="G40" i="13" s="1"/>
  <c r="G127" i="4"/>
  <c r="D128" i="4"/>
  <c r="E121" i="35"/>
  <c r="F121" i="35" s="1"/>
  <c r="H121" i="35" s="1"/>
  <c r="J119" i="34"/>
  <c r="D127" i="18"/>
  <c r="G126" i="18"/>
  <c r="J119" i="35"/>
  <c r="J122" i="26"/>
  <c r="D120" i="37"/>
  <c r="G119" i="37"/>
  <c r="B123" i="25"/>
  <c r="B125" i="28"/>
  <c r="I122" i="25"/>
  <c r="I120" i="31"/>
  <c r="E123" i="25"/>
  <c r="F123" i="25" s="1"/>
  <c r="H123" i="25" s="1"/>
  <c r="B124" i="26"/>
  <c r="E124" i="26"/>
  <c r="F124" i="26" s="1"/>
  <c r="H124" i="26" s="1"/>
  <c r="J118" i="37"/>
  <c r="B121" i="31"/>
  <c r="B121" i="35"/>
  <c r="J123" i="21"/>
  <c r="J123" i="27"/>
  <c r="I125" i="29"/>
  <c r="I126" i="19"/>
  <c r="D125" i="21"/>
  <c r="G124" i="21"/>
  <c r="J119" i="38"/>
  <c r="G120" i="38"/>
  <c r="D121" i="38"/>
  <c r="D125" i="27"/>
  <c r="G124" i="27"/>
  <c r="G120" i="34"/>
  <c r="D121" i="34"/>
  <c r="E121" i="34" s="1"/>
  <c r="J123" i="24"/>
  <c r="D125" i="24"/>
  <c r="G124" i="24"/>
  <c r="B127" i="19"/>
  <c r="I123" i="22"/>
  <c r="I128" i="23"/>
  <c r="B121" i="20"/>
  <c r="I120" i="20"/>
  <c r="H120" i="20"/>
  <c r="I127" i="3"/>
  <c r="E121" i="20"/>
  <c r="F121" i="20" s="1"/>
  <c r="B128" i="3"/>
  <c r="B124" i="22"/>
  <c r="B133" i="42" l="1"/>
  <c r="E133" i="42"/>
  <c r="F133" i="42" s="1"/>
  <c r="F50" i="42"/>
  <c r="B50" i="42"/>
  <c r="H62" i="28"/>
  <c r="G62" i="28"/>
  <c r="E63" i="28"/>
  <c r="F63" i="28" s="1"/>
  <c r="E125" i="27"/>
  <c r="F125" i="27" s="1"/>
  <c r="H125" i="27" s="1"/>
  <c r="E125" i="21"/>
  <c r="F125" i="21" s="1"/>
  <c r="H125" i="21" s="1"/>
  <c r="E125" i="24"/>
  <c r="F125" i="24" s="1"/>
  <c r="H125" i="24" s="1"/>
  <c r="B128" i="4"/>
  <c r="E127" i="18"/>
  <c r="F127" i="18" s="1"/>
  <c r="H127" i="18" s="1"/>
  <c r="B43" i="24"/>
  <c r="F43" i="24"/>
  <c r="H43" i="24" s="1"/>
  <c r="I120" i="35"/>
  <c r="J120" i="35" s="1"/>
  <c r="H120" i="13"/>
  <c r="I120" i="13"/>
  <c r="E121" i="13"/>
  <c r="F121" i="13" s="1"/>
  <c r="B121" i="13"/>
  <c r="G41" i="26"/>
  <c r="I41" i="26" s="1"/>
  <c r="J123" i="26"/>
  <c r="I42" i="28"/>
  <c r="G38" i="34"/>
  <c r="I38" i="34" s="1"/>
  <c r="G39" i="29"/>
  <c r="I39" i="29" s="1"/>
  <c r="H38" i="31"/>
  <c r="I38" i="31" s="1"/>
  <c r="G36" i="38"/>
  <c r="I36" i="38" s="1"/>
  <c r="H40" i="13"/>
  <c r="I40" i="13" s="1"/>
  <c r="G42" i="23"/>
  <c r="I42" i="23" s="1"/>
  <c r="D43" i="27"/>
  <c r="E43" i="27"/>
  <c r="B42" i="22"/>
  <c r="F42" i="22"/>
  <c r="H42" i="27"/>
  <c r="D41" i="25"/>
  <c r="E41" i="25"/>
  <c r="E128" i="4"/>
  <c r="F128" i="4" s="1"/>
  <c r="G128" i="4" s="1"/>
  <c r="F45" i="19"/>
  <c r="H45" i="19" s="1"/>
  <c r="B45" i="19"/>
  <c r="D39" i="34"/>
  <c r="E39" i="34"/>
  <c r="H40" i="25"/>
  <c r="I40" i="25" s="1"/>
  <c r="D38" i="37"/>
  <c r="E38" i="37"/>
  <c r="D39" i="35"/>
  <c r="E39" i="35"/>
  <c r="E43" i="23"/>
  <c r="D43" i="23"/>
  <c r="F43" i="21"/>
  <c r="B43" i="21"/>
  <c r="F46" i="4"/>
  <c r="H46" i="4" s="1"/>
  <c r="B46" i="4"/>
  <c r="H38" i="35"/>
  <c r="I38" i="35" s="1"/>
  <c r="I56" i="20"/>
  <c r="H37" i="37"/>
  <c r="I37" i="37" s="1"/>
  <c r="D39" i="31"/>
  <c r="E39" i="31"/>
  <c r="D37" i="38"/>
  <c r="E37" i="38"/>
  <c r="D40" i="29"/>
  <c r="E40" i="29"/>
  <c r="E58" i="20"/>
  <c r="F58" i="20" s="1"/>
  <c r="B58" i="20"/>
  <c r="H57" i="20"/>
  <c r="G57" i="20"/>
  <c r="D41" i="13"/>
  <c r="B45" i="18"/>
  <c r="F45" i="18"/>
  <c r="G45" i="18" s="1"/>
  <c r="G42" i="27"/>
  <c r="D42" i="26"/>
  <c r="E42" i="26"/>
  <c r="B47" i="3"/>
  <c r="F47" i="3"/>
  <c r="G47" i="3" s="1"/>
  <c r="B127" i="18"/>
  <c r="J124" i="28"/>
  <c r="I126" i="18"/>
  <c r="J126" i="19"/>
  <c r="I127" i="4"/>
  <c r="G123" i="25"/>
  <c r="D124" i="25"/>
  <c r="G121" i="31"/>
  <c r="D122" i="31"/>
  <c r="J120" i="31"/>
  <c r="I119" i="37"/>
  <c r="E120" i="37"/>
  <c r="F120" i="37" s="1"/>
  <c r="H120" i="37" s="1"/>
  <c r="B120" i="37"/>
  <c r="G121" i="35"/>
  <c r="D122" i="35"/>
  <c r="J122" i="25"/>
  <c r="J127" i="3"/>
  <c r="J128" i="23"/>
  <c r="G124" i="26"/>
  <c r="D125" i="26"/>
  <c r="I124" i="24"/>
  <c r="F121" i="34"/>
  <c r="H121" i="34" s="1"/>
  <c r="B121" i="34"/>
  <c r="I120" i="38"/>
  <c r="B121" i="38"/>
  <c r="B125" i="24"/>
  <c r="I120" i="34"/>
  <c r="E121" i="38"/>
  <c r="F121" i="38" s="1"/>
  <c r="H121" i="38" s="1"/>
  <c r="I124" i="21"/>
  <c r="B125" i="21"/>
  <c r="J125" i="29"/>
  <c r="D128" i="19"/>
  <c r="G127" i="19"/>
  <c r="I124" i="27"/>
  <c r="B125" i="27"/>
  <c r="D127" i="29"/>
  <c r="G126" i="29"/>
  <c r="D122" i="20"/>
  <c r="E122" i="20" s="1"/>
  <c r="G121" i="20"/>
  <c r="D125" i="22"/>
  <c r="G124" i="22"/>
  <c r="D129" i="3"/>
  <c r="G128" i="3"/>
  <c r="D130" i="23"/>
  <c r="G129" i="23"/>
  <c r="J120" i="20"/>
  <c r="J123" i="22"/>
  <c r="D134" i="42" l="1"/>
  <c r="E134" i="42" s="1"/>
  <c r="G133" i="42"/>
  <c r="D51" i="42"/>
  <c r="E51" i="42" s="1"/>
  <c r="H63" i="28"/>
  <c r="G63" i="28"/>
  <c r="E64" i="28"/>
  <c r="F64" i="28" s="1"/>
  <c r="E128" i="19"/>
  <c r="F128" i="19" s="1"/>
  <c r="H128" i="19" s="1"/>
  <c r="E125" i="22"/>
  <c r="F125" i="22" s="1"/>
  <c r="H125" i="22" s="1"/>
  <c r="H128" i="4"/>
  <c r="E127" i="29"/>
  <c r="F127" i="29" s="1"/>
  <c r="H127" i="29" s="1"/>
  <c r="G46" i="4"/>
  <c r="I46" i="4" s="1"/>
  <c r="J120" i="13"/>
  <c r="G43" i="24"/>
  <c r="I43" i="24" s="1"/>
  <c r="D44" i="24"/>
  <c r="E44" i="24"/>
  <c r="H45" i="18"/>
  <c r="I45" i="18" s="1"/>
  <c r="G121" i="13"/>
  <c r="D122" i="13"/>
  <c r="D129" i="4"/>
  <c r="E129" i="4" s="1"/>
  <c r="J124" i="27"/>
  <c r="I57" i="20"/>
  <c r="H47" i="3"/>
  <c r="I47" i="3" s="1"/>
  <c r="G45" i="19"/>
  <c r="I45" i="19" s="1"/>
  <c r="D44" i="21"/>
  <c r="E44" i="21"/>
  <c r="B41" i="13"/>
  <c r="F40" i="29"/>
  <c r="G40" i="29" s="1"/>
  <c r="F43" i="23"/>
  <c r="H43" i="23" s="1"/>
  <c r="B43" i="23"/>
  <c r="F39" i="34"/>
  <c r="H39" i="34" s="1"/>
  <c r="B39" i="34"/>
  <c r="E41" i="13"/>
  <c r="F41" i="13" s="1"/>
  <c r="B41" i="25"/>
  <c r="F41" i="25"/>
  <c r="G41" i="25" s="1"/>
  <c r="B42" i="26"/>
  <c r="F42" i="26"/>
  <c r="F37" i="38"/>
  <c r="B37" i="38"/>
  <c r="B43" i="28"/>
  <c r="I42" i="27"/>
  <c r="D47" i="4"/>
  <c r="E47" i="4"/>
  <c r="F39" i="35"/>
  <c r="B39" i="35"/>
  <c r="D43" i="22"/>
  <c r="E43" i="22"/>
  <c r="B39" i="31"/>
  <c r="F39" i="31"/>
  <c r="G39" i="31" s="1"/>
  <c r="G43" i="21"/>
  <c r="J126" i="18"/>
  <c r="D46" i="18"/>
  <c r="E46" i="18"/>
  <c r="H43" i="21"/>
  <c r="B38" i="37"/>
  <c r="F38" i="37"/>
  <c r="G38" i="37" s="1"/>
  <c r="H42" i="22"/>
  <c r="D48" i="3"/>
  <c r="E48" i="3"/>
  <c r="G58" i="20"/>
  <c r="H58" i="20"/>
  <c r="E59" i="20"/>
  <c r="F59" i="20" s="1"/>
  <c r="B59" i="20"/>
  <c r="D46" i="19"/>
  <c r="E46" i="19"/>
  <c r="G42" i="22"/>
  <c r="B43" i="27"/>
  <c r="F43" i="27"/>
  <c r="G43" i="27" s="1"/>
  <c r="J120" i="34"/>
  <c r="J120" i="38"/>
  <c r="I128" i="4"/>
  <c r="J127" i="4"/>
  <c r="G127" i="18"/>
  <c r="D128" i="18"/>
  <c r="J124" i="24"/>
  <c r="E122" i="35"/>
  <c r="F122" i="35" s="1"/>
  <c r="H122" i="35" s="1"/>
  <c r="B122" i="35"/>
  <c r="E122" i="31"/>
  <c r="F122" i="31" s="1"/>
  <c r="H122" i="31" s="1"/>
  <c r="B122" i="31"/>
  <c r="I121" i="35"/>
  <c r="I121" i="31"/>
  <c r="B124" i="25"/>
  <c r="E125" i="26"/>
  <c r="F125" i="26" s="1"/>
  <c r="H125" i="26" s="1"/>
  <c r="B125" i="26"/>
  <c r="G120" i="37"/>
  <c r="D121" i="37"/>
  <c r="I123" i="25"/>
  <c r="I124" i="26"/>
  <c r="E124" i="25"/>
  <c r="F124" i="25" s="1"/>
  <c r="H124" i="25" s="1"/>
  <c r="J119" i="37"/>
  <c r="B126" i="28"/>
  <c r="I127" i="19"/>
  <c r="J124" i="21"/>
  <c r="B128" i="19"/>
  <c r="G121" i="38"/>
  <c r="D122" i="38"/>
  <c r="D126" i="24"/>
  <c r="G125" i="24"/>
  <c r="G125" i="27"/>
  <c r="D126" i="27"/>
  <c r="I126" i="29"/>
  <c r="D126" i="21"/>
  <c r="G125" i="21"/>
  <c r="D122" i="34"/>
  <c r="G121" i="34"/>
  <c r="I128" i="3"/>
  <c r="B129" i="3"/>
  <c r="I124" i="22"/>
  <c r="E129" i="3"/>
  <c r="F129" i="3" s="1"/>
  <c r="H129" i="3" s="1"/>
  <c r="E130" i="23"/>
  <c r="F130" i="23" s="1"/>
  <c r="H130" i="23" s="1"/>
  <c r="B125" i="22"/>
  <c r="H121" i="20"/>
  <c r="I121" i="20"/>
  <c r="I129" i="23"/>
  <c r="F122" i="20"/>
  <c r="B122" i="20"/>
  <c r="F51" i="42" l="1"/>
  <c r="B51" i="42"/>
  <c r="F134" i="42"/>
  <c r="B134" i="42"/>
  <c r="H64" i="28"/>
  <c r="G64" i="28"/>
  <c r="E65" i="28"/>
  <c r="F65" i="28" s="1"/>
  <c r="E126" i="27"/>
  <c r="F126" i="27" s="1"/>
  <c r="H126" i="27" s="1"/>
  <c r="B129" i="4"/>
  <c r="B121" i="37"/>
  <c r="E122" i="38"/>
  <c r="F122" i="38" s="1"/>
  <c r="H122" i="38" s="1"/>
  <c r="E122" i="34"/>
  <c r="F122" i="34" s="1"/>
  <c r="H122" i="34" s="1"/>
  <c r="F44" i="24"/>
  <c r="G44" i="24" s="1"/>
  <c r="B44" i="24"/>
  <c r="F129" i="4"/>
  <c r="D130" i="4" s="1"/>
  <c r="E122" i="13"/>
  <c r="F122" i="13" s="1"/>
  <c r="B122" i="13"/>
  <c r="I121" i="13"/>
  <c r="H121" i="13"/>
  <c r="J127" i="19"/>
  <c r="J128" i="3"/>
  <c r="I43" i="28"/>
  <c r="I58" i="20"/>
  <c r="G39" i="34"/>
  <c r="I39" i="34" s="1"/>
  <c r="H41" i="25"/>
  <c r="I41" i="25" s="1"/>
  <c r="G43" i="23"/>
  <c r="I43" i="23" s="1"/>
  <c r="D42" i="13"/>
  <c r="H41" i="13"/>
  <c r="G41" i="13"/>
  <c r="B48" i="3"/>
  <c r="F48" i="3"/>
  <c r="B46" i="18"/>
  <c r="F46" i="18"/>
  <c r="B43" i="22"/>
  <c r="F43" i="22"/>
  <c r="H43" i="22" s="1"/>
  <c r="I42" i="22"/>
  <c r="D38" i="38"/>
  <c r="E38" i="38"/>
  <c r="B46" i="19"/>
  <c r="F46" i="19"/>
  <c r="H46" i="19" s="1"/>
  <c r="D40" i="35"/>
  <c r="E40" i="35"/>
  <c r="D43" i="26"/>
  <c r="E43" i="26"/>
  <c r="D39" i="37"/>
  <c r="E39" i="37"/>
  <c r="G39" i="35"/>
  <c r="H42" i="26"/>
  <c r="E44" i="23"/>
  <c r="D44" i="23"/>
  <c r="H59" i="20"/>
  <c r="E60" i="20"/>
  <c r="F60" i="20" s="1"/>
  <c r="B60" i="20"/>
  <c r="G59" i="20"/>
  <c r="D40" i="31"/>
  <c r="E40" i="31"/>
  <c r="H39" i="35"/>
  <c r="J125" i="28"/>
  <c r="D44" i="27"/>
  <c r="E44" i="27"/>
  <c r="H38" i="37"/>
  <c r="I38" i="37" s="1"/>
  <c r="G42" i="26"/>
  <c r="D41" i="29"/>
  <c r="E41" i="29"/>
  <c r="J128" i="4"/>
  <c r="H43" i="27"/>
  <c r="I43" i="27" s="1"/>
  <c r="I43" i="21"/>
  <c r="H39" i="31"/>
  <c r="I39" i="31" s="1"/>
  <c r="B47" i="4"/>
  <c r="F47" i="4"/>
  <c r="G47" i="4" s="1"/>
  <c r="G37" i="38"/>
  <c r="D42" i="25"/>
  <c r="E42" i="25"/>
  <c r="H40" i="29"/>
  <c r="I40" i="29" s="1"/>
  <c r="H37" i="38"/>
  <c r="D40" i="34"/>
  <c r="E40" i="34"/>
  <c r="B44" i="21"/>
  <c r="F44" i="21"/>
  <c r="G44" i="21" s="1"/>
  <c r="I127" i="18"/>
  <c r="J121" i="35"/>
  <c r="E128" i="18"/>
  <c r="F128" i="18" s="1"/>
  <c r="H128" i="18" s="1"/>
  <c r="B128" i="18"/>
  <c r="G124" i="25"/>
  <c r="D125" i="25"/>
  <c r="J124" i="22"/>
  <c r="I120" i="37"/>
  <c r="D123" i="31"/>
  <c r="G122" i="31"/>
  <c r="G125" i="26"/>
  <c r="D126" i="26"/>
  <c r="J124" i="26"/>
  <c r="J123" i="25"/>
  <c r="D123" i="35"/>
  <c r="G122" i="35"/>
  <c r="E121" i="37"/>
  <c r="F121" i="37" s="1"/>
  <c r="H121" i="37" s="1"/>
  <c r="J121" i="31"/>
  <c r="J129" i="23"/>
  <c r="I125" i="21"/>
  <c r="B126" i="21"/>
  <c r="D129" i="19"/>
  <c r="G128" i="19"/>
  <c r="B126" i="24"/>
  <c r="B126" i="27"/>
  <c r="I121" i="38"/>
  <c r="B122" i="38"/>
  <c r="I125" i="27"/>
  <c r="I121" i="34"/>
  <c r="B122" i="34"/>
  <c r="E126" i="24"/>
  <c r="F126" i="24" s="1"/>
  <c r="H126" i="24" s="1"/>
  <c r="E126" i="21"/>
  <c r="F126" i="21" s="1"/>
  <c r="H126" i="21" s="1"/>
  <c r="J126" i="29"/>
  <c r="I125" i="24"/>
  <c r="D128" i="29"/>
  <c r="G127" i="29"/>
  <c r="G130" i="23"/>
  <c r="D131" i="23"/>
  <c r="G129" i="3"/>
  <c r="D130" i="3"/>
  <c r="G125" i="22"/>
  <c r="D126" i="22"/>
  <c r="D123" i="20"/>
  <c r="G122" i="20"/>
  <c r="J121" i="20"/>
  <c r="G134" i="42" l="1"/>
  <c r="D135" i="42"/>
  <c r="E135" i="42" s="1"/>
  <c r="D52" i="42"/>
  <c r="H65" i="28"/>
  <c r="G65" i="28"/>
  <c r="E66" i="28"/>
  <c r="F66" i="28" s="1"/>
  <c r="E129" i="19"/>
  <c r="F129" i="19" s="1"/>
  <c r="H129" i="19" s="1"/>
  <c r="H129" i="4"/>
  <c r="E126" i="22"/>
  <c r="F126" i="22" s="1"/>
  <c r="H126" i="22" s="1"/>
  <c r="E130" i="3"/>
  <c r="F130" i="3" s="1"/>
  <c r="H130" i="3" s="1"/>
  <c r="E123" i="35"/>
  <c r="F123" i="35" s="1"/>
  <c r="H123" i="35" s="1"/>
  <c r="E128" i="29"/>
  <c r="F128" i="29" s="1"/>
  <c r="H128" i="29" s="1"/>
  <c r="G129" i="4"/>
  <c r="I129" i="4" s="1"/>
  <c r="H44" i="24"/>
  <c r="I44" i="24" s="1"/>
  <c r="D45" i="24"/>
  <c r="E45" i="24"/>
  <c r="J121" i="13"/>
  <c r="D123" i="13"/>
  <c r="G122" i="13"/>
  <c r="J121" i="34"/>
  <c r="J121" i="38"/>
  <c r="H47" i="4"/>
  <c r="I47" i="4" s="1"/>
  <c r="D45" i="21"/>
  <c r="E45" i="21"/>
  <c r="B42" i="25"/>
  <c r="F42" i="25"/>
  <c r="I42" i="26"/>
  <c r="D44" i="22"/>
  <c r="E44" i="22"/>
  <c r="D49" i="3"/>
  <c r="E49" i="3"/>
  <c r="B40" i="31"/>
  <c r="F40" i="31"/>
  <c r="D47" i="19"/>
  <c r="E47" i="19"/>
  <c r="G43" i="22"/>
  <c r="I43" i="22" s="1"/>
  <c r="H48" i="3"/>
  <c r="B44" i="27"/>
  <c r="F44" i="27"/>
  <c r="H44" i="27" s="1"/>
  <c r="B39" i="37"/>
  <c r="F39" i="37"/>
  <c r="H39" i="37" s="1"/>
  <c r="G46" i="19"/>
  <c r="I46" i="19" s="1"/>
  <c r="G48" i="3"/>
  <c r="B40" i="34"/>
  <c r="F40" i="34"/>
  <c r="D48" i="4"/>
  <c r="E48" i="4"/>
  <c r="B61" i="20"/>
  <c r="H60" i="20"/>
  <c r="G60" i="20"/>
  <c r="E61" i="20"/>
  <c r="F61" i="20" s="1"/>
  <c r="D47" i="18"/>
  <c r="E47" i="18"/>
  <c r="I37" i="38"/>
  <c r="I59" i="20"/>
  <c r="F43" i="26"/>
  <c r="G43" i="26" s="1"/>
  <c r="B43" i="26"/>
  <c r="H46" i="18"/>
  <c r="I41" i="13"/>
  <c r="J127" i="18"/>
  <c r="B44" i="28"/>
  <c r="B44" i="23"/>
  <c r="F44" i="23"/>
  <c r="H44" i="23" s="1"/>
  <c r="F38" i="38"/>
  <c r="G38" i="38" s="1"/>
  <c r="B38" i="38"/>
  <c r="G46" i="18"/>
  <c r="B42" i="13"/>
  <c r="H44" i="21"/>
  <c r="I44" i="21" s="1"/>
  <c r="F41" i="29"/>
  <c r="H41" i="29" s="1"/>
  <c r="I39" i="35"/>
  <c r="F40" i="35"/>
  <c r="H40" i="35" s="1"/>
  <c r="B40" i="35"/>
  <c r="E42" i="13"/>
  <c r="F42" i="13" s="1"/>
  <c r="B130" i="4"/>
  <c r="G128" i="18"/>
  <c r="D129" i="18"/>
  <c r="E130" i="4"/>
  <c r="F130" i="4" s="1"/>
  <c r="H130" i="4" s="1"/>
  <c r="I125" i="26"/>
  <c r="B123" i="35"/>
  <c r="I122" i="31"/>
  <c r="E123" i="31"/>
  <c r="F123" i="31" s="1"/>
  <c r="H123" i="31" s="1"/>
  <c r="B123" i="31"/>
  <c r="B127" i="28"/>
  <c r="J120" i="37"/>
  <c r="G121" i="37"/>
  <c r="D122" i="37"/>
  <c r="B126" i="26"/>
  <c r="E125" i="25"/>
  <c r="F125" i="25" s="1"/>
  <c r="H125" i="25" s="1"/>
  <c r="B125" i="25"/>
  <c r="I122" i="35"/>
  <c r="E126" i="26"/>
  <c r="F126" i="26" s="1"/>
  <c r="H126" i="26" s="1"/>
  <c r="I124" i="25"/>
  <c r="D127" i="21"/>
  <c r="G126" i="21"/>
  <c r="D127" i="24"/>
  <c r="G126" i="24"/>
  <c r="J125" i="21"/>
  <c r="B129" i="19"/>
  <c r="D127" i="27"/>
  <c r="G126" i="27"/>
  <c r="I127" i="29"/>
  <c r="J125" i="27"/>
  <c r="I128" i="19"/>
  <c r="J125" i="24"/>
  <c r="D123" i="34"/>
  <c r="G122" i="34"/>
  <c r="G122" i="38"/>
  <c r="D123" i="38"/>
  <c r="I122" i="20"/>
  <c r="H122" i="20"/>
  <c r="B123" i="20"/>
  <c r="I129" i="3"/>
  <c r="B130" i="3"/>
  <c r="B126" i="22"/>
  <c r="I125" i="22"/>
  <c r="I130" i="23"/>
  <c r="E123" i="20"/>
  <c r="F123" i="20" s="1"/>
  <c r="E131" i="23"/>
  <c r="F131" i="23" s="1"/>
  <c r="H131" i="23" s="1"/>
  <c r="B52" i="42" l="1"/>
  <c r="B135" i="42"/>
  <c r="F135" i="42"/>
  <c r="E52" i="42"/>
  <c r="F52" i="42" s="1"/>
  <c r="H66" i="28"/>
  <c r="G66" i="28"/>
  <c r="E67" i="28"/>
  <c r="F67" i="28" s="1"/>
  <c r="E127" i="27"/>
  <c r="F127" i="27" s="1"/>
  <c r="H127" i="27" s="1"/>
  <c r="E127" i="24"/>
  <c r="F127" i="24" s="1"/>
  <c r="H127" i="24" s="1"/>
  <c r="E127" i="21"/>
  <c r="F127" i="21" s="1"/>
  <c r="H127" i="21" s="1"/>
  <c r="B122" i="37"/>
  <c r="E123" i="38"/>
  <c r="F123" i="38" s="1"/>
  <c r="H123" i="38" s="1"/>
  <c r="E123" i="34"/>
  <c r="F123" i="34" s="1"/>
  <c r="H123" i="34" s="1"/>
  <c r="J129" i="4"/>
  <c r="J126" i="28"/>
  <c r="B45" i="24"/>
  <c r="F45" i="24"/>
  <c r="G45" i="24" s="1"/>
  <c r="H122" i="13"/>
  <c r="I122" i="13"/>
  <c r="E123" i="13"/>
  <c r="F123" i="13" s="1"/>
  <c r="B123" i="13"/>
  <c r="G39" i="37"/>
  <c r="I39" i="37" s="1"/>
  <c r="G40" i="35"/>
  <c r="I40" i="35" s="1"/>
  <c r="H38" i="38"/>
  <c r="I38" i="38" s="1"/>
  <c r="H43" i="26"/>
  <c r="I43" i="26" s="1"/>
  <c r="I60" i="20"/>
  <c r="D43" i="13"/>
  <c r="G42" i="13"/>
  <c r="H42" i="13"/>
  <c r="E45" i="23"/>
  <c r="D45" i="23"/>
  <c r="D41" i="31"/>
  <c r="E41" i="31"/>
  <c r="F48" i="4"/>
  <c r="G48" i="4" s="1"/>
  <c r="B48" i="4"/>
  <c r="D43" i="25"/>
  <c r="E43" i="25"/>
  <c r="G44" i="23"/>
  <c r="I44" i="23" s="1"/>
  <c r="I46" i="18"/>
  <c r="D41" i="34"/>
  <c r="E41" i="34"/>
  <c r="D40" i="37"/>
  <c r="E40" i="37"/>
  <c r="H40" i="31"/>
  <c r="F47" i="18"/>
  <c r="G47" i="18" s="1"/>
  <c r="B47" i="18"/>
  <c r="G40" i="31"/>
  <c r="H42" i="25"/>
  <c r="D42" i="29"/>
  <c r="E42" i="29"/>
  <c r="I44" i="28"/>
  <c r="B62" i="20"/>
  <c r="G61" i="20"/>
  <c r="H61" i="20"/>
  <c r="E62" i="20"/>
  <c r="F62" i="20" s="1"/>
  <c r="H40" i="34"/>
  <c r="I48" i="3"/>
  <c r="G42" i="25"/>
  <c r="G41" i="29"/>
  <c r="I41" i="29" s="1"/>
  <c r="G40" i="34"/>
  <c r="D45" i="27"/>
  <c r="E45" i="27"/>
  <c r="B49" i="3"/>
  <c r="F49" i="3"/>
  <c r="E122" i="37"/>
  <c r="F122" i="37" s="1"/>
  <c r="D123" i="37" s="1"/>
  <c r="D44" i="26"/>
  <c r="E44" i="26"/>
  <c r="F45" i="21"/>
  <c r="H45" i="21" s="1"/>
  <c r="B45" i="21"/>
  <c r="D41" i="35"/>
  <c r="E41" i="35"/>
  <c r="D39" i="38"/>
  <c r="E39" i="38"/>
  <c r="G44" i="27"/>
  <c r="I44" i="27" s="1"/>
  <c r="B47" i="19"/>
  <c r="F47" i="19"/>
  <c r="H47" i="19" s="1"/>
  <c r="B44" i="22"/>
  <c r="F44" i="22"/>
  <c r="D131" i="4"/>
  <c r="G130" i="4"/>
  <c r="E129" i="18"/>
  <c r="F129" i="18" s="1"/>
  <c r="H129" i="18" s="1"/>
  <c r="B129" i="18"/>
  <c r="I128" i="18"/>
  <c r="J130" i="23"/>
  <c r="J124" i="25"/>
  <c r="G123" i="31"/>
  <c r="D124" i="31"/>
  <c r="E124" i="31" s="1"/>
  <c r="J129" i="3"/>
  <c r="I121" i="37"/>
  <c r="G125" i="25"/>
  <c r="D126" i="25"/>
  <c r="J122" i="31"/>
  <c r="G123" i="35"/>
  <c r="D124" i="35"/>
  <c r="G126" i="26"/>
  <c r="D127" i="26"/>
  <c r="J125" i="26"/>
  <c r="J122" i="35"/>
  <c r="J125" i="22"/>
  <c r="I122" i="34"/>
  <c r="J127" i="29"/>
  <c r="I126" i="27"/>
  <c r="B127" i="27"/>
  <c r="I126" i="24"/>
  <c r="G129" i="19"/>
  <c r="D130" i="19"/>
  <c r="B127" i="24"/>
  <c r="B123" i="34"/>
  <c r="B123" i="38"/>
  <c r="I126" i="21"/>
  <c r="G128" i="29"/>
  <c r="D129" i="29"/>
  <c r="I122" i="38"/>
  <c r="J128" i="19"/>
  <c r="B127" i="21"/>
  <c r="G123" i="20"/>
  <c r="D124" i="20"/>
  <c r="E124" i="20" s="1"/>
  <c r="G126" i="22"/>
  <c r="D127" i="22"/>
  <c r="D132" i="23"/>
  <c r="G131" i="23"/>
  <c r="D131" i="3"/>
  <c r="G130" i="3"/>
  <c r="J122" i="20"/>
  <c r="D53" i="42" l="1"/>
  <c r="E53" i="42" s="1"/>
  <c r="D136" i="42"/>
  <c r="E136" i="42" s="1"/>
  <c r="G135" i="42"/>
  <c r="H67" i="28"/>
  <c r="G67" i="28"/>
  <c r="E68" i="28"/>
  <c r="F68" i="28" s="1"/>
  <c r="B127" i="26"/>
  <c r="E130" i="19"/>
  <c r="F130" i="19" s="1"/>
  <c r="H130" i="19" s="1"/>
  <c r="E131" i="3"/>
  <c r="F131" i="3" s="1"/>
  <c r="H131" i="3" s="1"/>
  <c r="E131" i="4"/>
  <c r="F131" i="4" s="1"/>
  <c r="H131" i="4" s="1"/>
  <c r="E127" i="22"/>
  <c r="F127" i="22" s="1"/>
  <c r="H127" i="22" s="1"/>
  <c r="E123" i="37"/>
  <c r="F123" i="37" s="1"/>
  <c r="H123" i="37" s="1"/>
  <c r="H122" i="37"/>
  <c r="E124" i="35"/>
  <c r="F124" i="35" s="1"/>
  <c r="H124" i="35" s="1"/>
  <c r="E129" i="29"/>
  <c r="F129" i="29" s="1"/>
  <c r="H129" i="29" s="1"/>
  <c r="G122" i="37"/>
  <c r="I122" i="37" s="1"/>
  <c r="H47" i="18"/>
  <c r="I47" i="18" s="1"/>
  <c r="H45" i="24"/>
  <c r="I45" i="24" s="1"/>
  <c r="D46" i="24"/>
  <c r="E46" i="24"/>
  <c r="J122" i="13"/>
  <c r="D124" i="13"/>
  <c r="G123" i="13"/>
  <c r="I42" i="13"/>
  <c r="I61" i="20"/>
  <c r="G45" i="21"/>
  <c r="I45" i="21" s="1"/>
  <c r="J128" i="18"/>
  <c r="I40" i="34"/>
  <c r="I40" i="31"/>
  <c r="B43" i="25"/>
  <c r="F43" i="25"/>
  <c r="G43" i="25" s="1"/>
  <c r="D48" i="19"/>
  <c r="E48" i="19"/>
  <c r="F41" i="35"/>
  <c r="B41" i="35"/>
  <c r="D50" i="3"/>
  <c r="E50" i="3" s="1"/>
  <c r="B45" i="23"/>
  <c r="F45" i="23"/>
  <c r="G45" i="23" s="1"/>
  <c r="G49" i="3"/>
  <c r="B40" i="37"/>
  <c r="F40" i="37"/>
  <c r="H40" i="37" s="1"/>
  <c r="D45" i="22"/>
  <c r="E45" i="22"/>
  <c r="H49" i="3"/>
  <c r="F42" i="29"/>
  <c r="D49" i="4"/>
  <c r="E49" i="4"/>
  <c r="G44" i="22"/>
  <c r="G62" i="20"/>
  <c r="H62" i="20"/>
  <c r="B63" i="20"/>
  <c r="E63" i="20"/>
  <c r="F63" i="20" s="1"/>
  <c r="I42" i="25"/>
  <c r="B41" i="34"/>
  <c r="F41" i="34"/>
  <c r="H41" i="34" s="1"/>
  <c r="H48" i="4"/>
  <c r="I48" i="4" s="1"/>
  <c r="H44" i="22"/>
  <c r="B45" i="28"/>
  <c r="D46" i="21"/>
  <c r="E46" i="21"/>
  <c r="D48" i="18"/>
  <c r="E48" i="18"/>
  <c r="B43" i="13"/>
  <c r="F45" i="27"/>
  <c r="B45" i="27"/>
  <c r="E43" i="13"/>
  <c r="F43" i="13" s="1"/>
  <c r="E127" i="26"/>
  <c r="F127" i="26" s="1"/>
  <c r="H127" i="26" s="1"/>
  <c r="G47" i="19"/>
  <c r="I47" i="19" s="1"/>
  <c r="B39" i="38"/>
  <c r="F39" i="38"/>
  <c r="H39" i="38" s="1"/>
  <c r="B44" i="26"/>
  <c r="F44" i="26"/>
  <c r="G44" i="26" s="1"/>
  <c r="B41" i="31"/>
  <c r="F41" i="31"/>
  <c r="G129" i="18"/>
  <c r="D130" i="18"/>
  <c r="I130" i="4"/>
  <c r="J122" i="38"/>
  <c r="B131" i="4"/>
  <c r="I126" i="26"/>
  <c r="E126" i="25"/>
  <c r="F126" i="25" s="1"/>
  <c r="H126" i="25" s="1"/>
  <c r="B126" i="25"/>
  <c r="I125" i="25"/>
  <c r="B124" i="35"/>
  <c r="J126" i="21"/>
  <c r="I123" i="35"/>
  <c r="J121" i="37"/>
  <c r="B123" i="37"/>
  <c r="B128" i="28"/>
  <c r="B124" i="31"/>
  <c r="F124" i="31"/>
  <c r="H124" i="31" s="1"/>
  <c r="I123" i="31"/>
  <c r="J126" i="27"/>
  <c r="D124" i="34"/>
  <c r="G123" i="34"/>
  <c r="G127" i="24"/>
  <c r="D128" i="24"/>
  <c r="D124" i="38"/>
  <c r="G123" i="38"/>
  <c r="J122" i="34"/>
  <c r="I128" i="29"/>
  <c r="B130" i="19"/>
  <c r="J126" i="24"/>
  <c r="I129" i="19"/>
  <c r="D128" i="27"/>
  <c r="G127" i="27"/>
  <c r="G127" i="21"/>
  <c r="D128" i="21"/>
  <c r="I126" i="22"/>
  <c r="I131" i="23"/>
  <c r="B127" i="22"/>
  <c r="B124" i="20"/>
  <c r="F124" i="20"/>
  <c r="I130" i="3"/>
  <c r="B131" i="3"/>
  <c r="E132" i="23"/>
  <c r="F132" i="23" s="1"/>
  <c r="H132" i="23" s="1"/>
  <c r="H123" i="20"/>
  <c r="I123" i="20"/>
  <c r="F136" i="42" l="1"/>
  <c r="B136" i="42"/>
  <c r="F53" i="42"/>
  <c r="B53" i="42"/>
  <c r="H68" i="28"/>
  <c r="G68" i="28"/>
  <c r="E69" i="28"/>
  <c r="F69" i="28" s="1"/>
  <c r="E128" i="27"/>
  <c r="F128" i="27" s="1"/>
  <c r="H128" i="27" s="1"/>
  <c r="E128" i="24"/>
  <c r="F128" i="24" s="1"/>
  <c r="H128" i="24" s="1"/>
  <c r="E128" i="21"/>
  <c r="F128" i="21" s="1"/>
  <c r="H128" i="21" s="1"/>
  <c r="B130" i="18"/>
  <c r="E124" i="38"/>
  <c r="F124" i="38" s="1"/>
  <c r="H124" i="38" s="1"/>
  <c r="E124" i="34"/>
  <c r="F124" i="34" s="1"/>
  <c r="H124" i="34" s="1"/>
  <c r="B46" i="24"/>
  <c r="F46" i="24"/>
  <c r="H46" i="24" s="1"/>
  <c r="H123" i="13"/>
  <c r="I123" i="13"/>
  <c r="E124" i="13"/>
  <c r="F124" i="13" s="1"/>
  <c r="B124" i="13"/>
  <c r="J130" i="4"/>
  <c r="I45" i="28"/>
  <c r="G41" i="34"/>
  <c r="I41" i="34" s="1"/>
  <c r="G39" i="38"/>
  <c r="I39" i="38" s="1"/>
  <c r="I62" i="20"/>
  <c r="D44" i="13"/>
  <c r="E44" i="13" s="1"/>
  <c r="H43" i="13"/>
  <c r="G43" i="13"/>
  <c r="D46" i="27"/>
  <c r="E46" i="27"/>
  <c r="F46" i="21"/>
  <c r="G46" i="21" s="1"/>
  <c r="B46" i="21"/>
  <c r="D42" i="35"/>
  <c r="E42" i="35"/>
  <c r="E130" i="18"/>
  <c r="F130" i="18" s="1"/>
  <c r="G130" i="18" s="1"/>
  <c r="D45" i="26"/>
  <c r="E45" i="26"/>
  <c r="G127" i="26"/>
  <c r="D128" i="26"/>
  <c r="F45" i="22"/>
  <c r="H45" i="22" s="1"/>
  <c r="B45" i="22"/>
  <c r="D46" i="23"/>
  <c r="E46" i="23"/>
  <c r="B48" i="19"/>
  <c r="F48" i="19"/>
  <c r="G48" i="19" s="1"/>
  <c r="J123" i="31"/>
  <c r="H44" i="26"/>
  <c r="I44" i="26" s="1"/>
  <c r="B49" i="4"/>
  <c r="F49" i="4"/>
  <c r="D41" i="37"/>
  <c r="E41" i="37"/>
  <c r="D42" i="31"/>
  <c r="E42" i="31"/>
  <c r="G63" i="20"/>
  <c r="B64" i="20"/>
  <c r="H63" i="20"/>
  <c r="E64" i="20"/>
  <c r="F64" i="20" s="1"/>
  <c r="D43" i="29"/>
  <c r="E43" i="29"/>
  <c r="B50" i="3"/>
  <c r="F50" i="3"/>
  <c r="H50" i="3" s="1"/>
  <c r="D44" i="25"/>
  <c r="E44" i="25"/>
  <c r="J127" i="28"/>
  <c r="H41" i="31"/>
  <c r="G45" i="27"/>
  <c r="I44" i="22"/>
  <c r="G42" i="29"/>
  <c r="G40" i="37"/>
  <c r="I40" i="37" s="1"/>
  <c r="H41" i="35"/>
  <c r="H43" i="25"/>
  <c r="I43" i="25" s="1"/>
  <c r="D40" i="38"/>
  <c r="E40" i="38"/>
  <c r="H45" i="27"/>
  <c r="B48" i="18"/>
  <c r="F48" i="18"/>
  <c r="H42" i="29"/>
  <c r="J130" i="3"/>
  <c r="J123" i="35"/>
  <c r="G41" i="31"/>
  <c r="D42" i="34"/>
  <c r="E42" i="34"/>
  <c r="I49" i="3"/>
  <c r="H45" i="23"/>
  <c r="I45" i="23" s="1"/>
  <c r="G41" i="35"/>
  <c r="J125" i="25"/>
  <c r="D132" i="4"/>
  <c r="G131" i="4"/>
  <c r="J122" i="37"/>
  <c r="I129" i="18"/>
  <c r="G124" i="31"/>
  <c r="D125" i="31"/>
  <c r="D127" i="25"/>
  <c r="G126" i="25"/>
  <c r="G123" i="37"/>
  <c r="D124" i="37"/>
  <c r="D125" i="35"/>
  <c r="G124" i="35"/>
  <c r="J126" i="26"/>
  <c r="J129" i="19"/>
  <c r="J128" i="29"/>
  <c r="I123" i="34"/>
  <c r="I123" i="38"/>
  <c r="B124" i="34"/>
  <c r="B124" i="38"/>
  <c r="I127" i="27"/>
  <c r="G129" i="29"/>
  <c r="D130" i="29"/>
  <c r="B128" i="21"/>
  <c r="B128" i="27"/>
  <c r="G130" i="19"/>
  <c r="D131" i="19"/>
  <c r="B128" i="24"/>
  <c r="J131" i="23"/>
  <c r="I127" i="21"/>
  <c r="I127" i="24"/>
  <c r="G131" i="3"/>
  <c r="D132" i="3"/>
  <c r="J123" i="20"/>
  <c r="G132" i="23"/>
  <c r="D133" i="23"/>
  <c r="D128" i="22"/>
  <c r="G127" i="22"/>
  <c r="D125" i="20"/>
  <c r="E125" i="20" s="1"/>
  <c r="G124" i="20"/>
  <c r="J126" i="22"/>
  <c r="D54" i="42" l="1"/>
  <c r="E54" i="42" s="1"/>
  <c r="D137" i="42"/>
  <c r="G136" i="42"/>
  <c r="H69" i="28"/>
  <c r="G69" i="28"/>
  <c r="E70" i="28"/>
  <c r="F70" i="28" s="1"/>
  <c r="J123" i="13"/>
  <c r="I45" i="27"/>
  <c r="E127" i="25"/>
  <c r="F127" i="25" s="1"/>
  <c r="H127" i="25" s="1"/>
  <c r="E133" i="23"/>
  <c r="F133" i="23" s="1"/>
  <c r="H133" i="23" s="1"/>
  <c r="H130" i="18"/>
  <c r="G46" i="24"/>
  <c r="I46" i="24" s="1"/>
  <c r="E47" i="24"/>
  <c r="D47" i="24"/>
  <c r="D131" i="18"/>
  <c r="E131" i="18" s="1"/>
  <c r="G124" i="13"/>
  <c r="D125" i="13"/>
  <c r="B125" i="13" s="1"/>
  <c r="I41" i="35"/>
  <c r="G45" i="22"/>
  <c r="I45" i="22" s="1"/>
  <c r="I63" i="20"/>
  <c r="D49" i="18"/>
  <c r="E49" i="18"/>
  <c r="B44" i="25"/>
  <c r="F44" i="25"/>
  <c r="G44" i="25" s="1"/>
  <c r="B42" i="31"/>
  <c r="F42" i="31"/>
  <c r="B46" i="28"/>
  <c r="I127" i="26"/>
  <c r="H48" i="18"/>
  <c r="D47" i="21"/>
  <c r="E47" i="21"/>
  <c r="D51" i="3"/>
  <c r="E51" i="3"/>
  <c r="F41" i="37"/>
  <c r="G41" i="37" s="1"/>
  <c r="B41" i="37"/>
  <c r="F46" i="23"/>
  <c r="G46" i="23" s="1"/>
  <c r="B46" i="23"/>
  <c r="B45" i="26"/>
  <c r="F45" i="26"/>
  <c r="H45" i="26" s="1"/>
  <c r="F42" i="34"/>
  <c r="H42" i="34" s="1"/>
  <c r="B42" i="34"/>
  <c r="G48" i="18"/>
  <c r="G50" i="3"/>
  <c r="I50" i="3" s="1"/>
  <c r="D50" i="4"/>
  <c r="E50" i="4"/>
  <c r="B46" i="27"/>
  <c r="F46" i="27"/>
  <c r="D49" i="19"/>
  <c r="E49" i="19"/>
  <c r="I41" i="31"/>
  <c r="G49" i="4"/>
  <c r="H48" i="19"/>
  <c r="I48" i="19" s="1"/>
  <c r="B42" i="35"/>
  <c r="F42" i="35"/>
  <c r="G42" i="35" s="1"/>
  <c r="I43" i="13"/>
  <c r="F40" i="38"/>
  <c r="H40" i="38" s="1"/>
  <c r="B40" i="38"/>
  <c r="F43" i="29"/>
  <c r="H43" i="29" s="1"/>
  <c r="H49" i="4"/>
  <c r="D46" i="22"/>
  <c r="E46" i="22"/>
  <c r="H46" i="21"/>
  <c r="I46" i="21" s="1"/>
  <c r="I42" i="29"/>
  <c r="E65" i="20"/>
  <c r="F65" i="20" s="1"/>
  <c r="B65" i="20"/>
  <c r="G64" i="20"/>
  <c r="H64" i="20"/>
  <c r="B128" i="26"/>
  <c r="E128" i="26"/>
  <c r="F128" i="26" s="1"/>
  <c r="H128" i="26" s="1"/>
  <c r="B44" i="13"/>
  <c r="F44" i="13"/>
  <c r="G44" i="13" s="1"/>
  <c r="I130" i="18"/>
  <c r="J129" i="18"/>
  <c r="J127" i="21"/>
  <c r="I131" i="4"/>
  <c r="E132" i="4"/>
  <c r="F132" i="4" s="1"/>
  <c r="H132" i="4" s="1"/>
  <c r="B132" i="4"/>
  <c r="I126" i="25"/>
  <c r="B127" i="25"/>
  <c r="I124" i="35"/>
  <c r="B129" i="28"/>
  <c r="E125" i="35"/>
  <c r="F125" i="35" s="1"/>
  <c r="H125" i="35" s="1"/>
  <c r="B125" i="35"/>
  <c r="E124" i="37"/>
  <c r="F124" i="37" s="1"/>
  <c r="H124" i="37" s="1"/>
  <c r="B124" i="37"/>
  <c r="E125" i="31"/>
  <c r="F125" i="31" s="1"/>
  <c r="H125" i="31" s="1"/>
  <c r="B125" i="31"/>
  <c r="J123" i="38"/>
  <c r="I123" i="37"/>
  <c r="I124" i="31"/>
  <c r="J127" i="27"/>
  <c r="I129" i="29"/>
  <c r="G128" i="21"/>
  <c r="D129" i="21"/>
  <c r="G124" i="34"/>
  <c r="D125" i="34"/>
  <c r="B131" i="19"/>
  <c r="I130" i="19"/>
  <c r="J127" i="24"/>
  <c r="E131" i="19"/>
  <c r="F131" i="19" s="1"/>
  <c r="H131" i="19" s="1"/>
  <c r="D125" i="38"/>
  <c r="G124" i="38"/>
  <c r="J123" i="34"/>
  <c r="D129" i="24"/>
  <c r="G128" i="24"/>
  <c r="G128" i="27"/>
  <c r="D129" i="27"/>
  <c r="E130" i="29"/>
  <c r="F130" i="29" s="1"/>
  <c r="H130" i="29" s="1"/>
  <c r="B128" i="22"/>
  <c r="H124" i="20"/>
  <c r="I124" i="20"/>
  <c r="I132" i="23"/>
  <c r="B132" i="3"/>
  <c r="I127" i="22"/>
  <c r="E128" i="22"/>
  <c r="F128" i="22" s="1"/>
  <c r="H128" i="22" s="1"/>
  <c r="I131" i="3"/>
  <c r="F125" i="20"/>
  <c r="B125" i="20"/>
  <c r="E132" i="3"/>
  <c r="F132" i="3" s="1"/>
  <c r="H132" i="3" s="1"/>
  <c r="B137" i="42" l="1"/>
  <c r="E137" i="42"/>
  <c r="F137" i="42" s="1"/>
  <c r="F54" i="42"/>
  <c r="B54" i="42"/>
  <c r="H70" i="28"/>
  <c r="G70" i="28"/>
  <c r="E71" i="28"/>
  <c r="F71" i="28" s="1"/>
  <c r="E129" i="24"/>
  <c r="F129" i="24" s="1"/>
  <c r="H129" i="24" s="1"/>
  <c r="E129" i="21"/>
  <c r="F129" i="21" s="1"/>
  <c r="H129" i="21" s="1"/>
  <c r="E129" i="27"/>
  <c r="F129" i="27" s="1"/>
  <c r="H129" i="27" s="1"/>
  <c r="B131" i="18"/>
  <c r="E125" i="38"/>
  <c r="F125" i="38" s="1"/>
  <c r="H125" i="38" s="1"/>
  <c r="E125" i="34"/>
  <c r="F125" i="34" s="1"/>
  <c r="H125" i="34" s="1"/>
  <c r="F131" i="18"/>
  <c r="G131" i="18" s="1"/>
  <c r="E125" i="13"/>
  <c r="F125" i="13" s="1"/>
  <c r="D126" i="13" s="1"/>
  <c r="E126" i="13" s="1"/>
  <c r="B47" i="24"/>
  <c r="F47" i="24"/>
  <c r="G47" i="24" s="1"/>
  <c r="G45" i="26"/>
  <c r="I45" i="26" s="1"/>
  <c r="J131" i="3"/>
  <c r="H124" i="13"/>
  <c r="I124" i="13"/>
  <c r="J127" i="26"/>
  <c r="J132" i="23"/>
  <c r="H44" i="13"/>
  <c r="I44" i="13" s="1"/>
  <c r="I64" i="20"/>
  <c r="I49" i="4"/>
  <c r="G40" i="38"/>
  <c r="I40" i="38" s="1"/>
  <c r="G42" i="34"/>
  <c r="I42" i="34" s="1"/>
  <c r="H46" i="23"/>
  <c r="I46" i="23" s="1"/>
  <c r="J130" i="18"/>
  <c r="H42" i="35"/>
  <c r="I42" i="35" s="1"/>
  <c r="G65" i="20"/>
  <c r="E66" i="20"/>
  <c r="F66" i="20" s="1"/>
  <c r="B66" i="20"/>
  <c r="H65" i="20"/>
  <c r="D43" i="31"/>
  <c r="E43" i="31"/>
  <c r="D44" i="29"/>
  <c r="E44" i="29"/>
  <c r="D42" i="37"/>
  <c r="E42" i="37"/>
  <c r="D47" i="27"/>
  <c r="E47" i="27"/>
  <c r="D129" i="26"/>
  <c r="G128" i="26"/>
  <c r="H46" i="27"/>
  <c r="B51" i="3"/>
  <c r="F51" i="3"/>
  <c r="H51" i="3" s="1"/>
  <c r="I46" i="28"/>
  <c r="D45" i="25"/>
  <c r="E45" i="25"/>
  <c r="F46" i="22"/>
  <c r="H46" i="22" s="1"/>
  <c r="B46" i="22"/>
  <c r="G46" i="27"/>
  <c r="H44" i="25"/>
  <c r="I44" i="25" s="1"/>
  <c r="D41" i="38"/>
  <c r="E41" i="38"/>
  <c r="D43" i="34"/>
  <c r="E43" i="34"/>
  <c r="D47" i="23"/>
  <c r="E47" i="23"/>
  <c r="B47" i="21"/>
  <c r="F47" i="21"/>
  <c r="G47" i="21" s="1"/>
  <c r="J123" i="37"/>
  <c r="G42" i="31"/>
  <c r="D45" i="13"/>
  <c r="E45" i="13" s="1"/>
  <c r="G43" i="29"/>
  <c r="I43" i="29" s="1"/>
  <c r="D43" i="35"/>
  <c r="E43" i="35"/>
  <c r="F49" i="19"/>
  <c r="H49" i="19" s="1"/>
  <c r="B49" i="19"/>
  <c r="F50" i="4"/>
  <c r="G50" i="4" s="1"/>
  <c r="B50" i="4"/>
  <c r="D46" i="26"/>
  <c r="E46" i="26"/>
  <c r="H41" i="37"/>
  <c r="I41" i="37" s="1"/>
  <c r="I48" i="18"/>
  <c r="H42" i="31"/>
  <c r="F49" i="18"/>
  <c r="H49" i="18" s="1"/>
  <c r="B49" i="18"/>
  <c r="D133" i="4"/>
  <c r="G132" i="4"/>
  <c r="J130" i="19"/>
  <c r="J131" i="4"/>
  <c r="J124" i="31"/>
  <c r="G124" i="37"/>
  <c r="D125" i="37"/>
  <c r="J124" i="35"/>
  <c r="J128" i="28"/>
  <c r="G127" i="25"/>
  <c r="D128" i="25"/>
  <c r="D126" i="35"/>
  <c r="G125" i="35"/>
  <c r="G125" i="31"/>
  <c r="D126" i="31"/>
  <c r="J126" i="25"/>
  <c r="J124" i="20"/>
  <c r="D131" i="29"/>
  <c r="G130" i="29"/>
  <c r="J129" i="29"/>
  <c r="B129" i="27"/>
  <c r="I128" i="27"/>
  <c r="I128" i="24"/>
  <c r="I124" i="38"/>
  <c r="I124" i="34"/>
  <c r="B129" i="24"/>
  <c r="B125" i="38"/>
  <c r="B129" i="21"/>
  <c r="D132" i="19"/>
  <c r="G131" i="19"/>
  <c r="B125" i="34"/>
  <c r="I128" i="21"/>
  <c r="G128" i="22"/>
  <c r="D129" i="22"/>
  <c r="D134" i="23"/>
  <c r="G133" i="23"/>
  <c r="J127" i="22"/>
  <c r="G125" i="20"/>
  <c r="D126" i="20"/>
  <c r="D133" i="3"/>
  <c r="G132" i="3"/>
  <c r="D138" i="42" l="1"/>
  <c r="E138" i="42" s="1"/>
  <c r="G137" i="42"/>
  <c r="D55" i="42"/>
  <c r="E55" i="42" s="1"/>
  <c r="G125" i="13"/>
  <c r="H125" i="13" s="1"/>
  <c r="H71" i="28"/>
  <c r="G71" i="28"/>
  <c r="E72" i="28"/>
  <c r="F72" i="28" s="1"/>
  <c r="B126" i="13"/>
  <c r="B128" i="25"/>
  <c r="E132" i="19"/>
  <c r="F132" i="19" s="1"/>
  <c r="H132" i="19" s="1"/>
  <c r="E129" i="22"/>
  <c r="F129" i="22" s="1"/>
  <c r="H129" i="22" s="1"/>
  <c r="H131" i="18"/>
  <c r="E133" i="3"/>
  <c r="F133" i="3" s="1"/>
  <c r="H133" i="3" s="1"/>
  <c r="E126" i="35"/>
  <c r="F126" i="35" s="1"/>
  <c r="H126" i="35" s="1"/>
  <c r="E131" i="29"/>
  <c r="F131" i="29" s="1"/>
  <c r="H131" i="29" s="1"/>
  <c r="F126" i="13"/>
  <c r="D127" i="13" s="1"/>
  <c r="E127" i="13" s="1"/>
  <c r="D132" i="18"/>
  <c r="B132" i="18" s="1"/>
  <c r="I42" i="31"/>
  <c r="H47" i="24"/>
  <c r="I47" i="24" s="1"/>
  <c r="D48" i="24"/>
  <c r="E48" i="24"/>
  <c r="J124" i="13"/>
  <c r="J128" i="27"/>
  <c r="H50" i="4"/>
  <c r="I50" i="4" s="1"/>
  <c r="I65" i="20"/>
  <c r="G46" i="22"/>
  <c r="I46" i="22" s="1"/>
  <c r="I46" i="27"/>
  <c r="F47" i="23"/>
  <c r="H47" i="23" s="1"/>
  <c r="B47" i="23"/>
  <c r="B46" i="26"/>
  <c r="F46" i="26"/>
  <c r="D50" i="19"/>
  <c r="E50" i="19" s="1"/>
  <c r="B42" i="37"/>
  <c r="F42" i="37"/>
  <c r="G42" i="37" s="1"/>
  <c r="G49" i="18"/>
  <c r="I49" i="18" s="1"/>
  <c r="B47" i="28"/>
  <c r="B43" i="34"/>
  <c r="F43" i="34"/>
  <c r="H43" i="34" s="1"/>
  <c r="D47" i="22"/>
  <c r="E47" i="22"/>
  <c r="B43" i="35"/>
  <c r="F43" i="35"/>
  <c r="H43" i="35" s="1"/>
  <c r="D48" i="21"/>
  <c r="E48" i="21"/>
  <c r="I128" i="26"/>
  <c r="F44" i="29"/>
  <c r="D50" i="18"/>
  <c r="E50" i="18" s="1"/>
  <c r="B41" i="38"/>
  <c r="F41" i="38"/>
  <c r="B45" i="25"/>
  <c r="F45" i="25"/>
  <c r="E129" i="26"/>
  <c r="F129" i="26" s="1"/>
  <c r="H129" i="26" s="1"/>
  <c r="B129" i="26"/>
  <c r="D51" i="4"/>
  <c r="E51" i="4" s="1"/>
  <c r="H47" i="21"/>
  <c r="I47" i="21" s="1"/>
  <c r="G49" i="19"/>
  <c r="I49" i="19" s="1"/>
  <c r="F45" i="13"/>
  <c r="H45" i="13" s="1"/>
  <c r="B45" i="13"/>
  <c r="D52" i="3"/>
  <c r="E52" i="3"/>
  <c r="B43" i="31"/>
  <c r="F43" i="31"/>
  <c r="H43" i="31" s="1"/>
  <c r="G66" i="20"/>
  <c r="B67" i="20"/>
  <c r="E67" i="20"/>
  <c r="F67" i="20" s="1"/>
  <c r="H66" i="20"/>
  <c r="E128" i="25"/>
  <c r="F128" i="25" s="1"/>
  <c r="G128" i="25" s="1"/>
  <c r="G51" i="3"/>
  <c r="I51" i="3" s="1"/>
  <c r="B47" i="27"/>
  <c r="F47" i="27"/>
  <c r="H47" i="27" s="1"/>
  <c r="B133" i="4"/>
  <c r="E133" i="4"/>
  <c r="F133" i="4" s="1"/>
  <c r="H133" i="4" s="1"/>
  <c r="I132" i="4"/>
  <c r="I131" i="18"/>
  <c r="I127" i="25"/>
  <c r="E126" i="31"/>
  <c r="F126" i="31" s="1"/>
  <c r="H126" i="31" s="1"/>
  <c r="B126" i="31"/>
  <c r="I125" i="31"/>
  <c r="I125" i="35"/>
  <c r="B130" i="28"/>
  <c r="B126" i="35"/>
  <c r="B125" i="37"/>
  <c r="E125" i="37"/>
  <c r="F125" i="37" s="1"/>
  <c r="H125" i="37" s="1"/>
  <c r="I124" i="37"/>
  <c r="J124" i="34"/>
  <c r="J124" i="38"/>
  <c r="J128" i="21"/>
  <c r="D130" i="21"/>
  <c r="G129" i="21"/>
  <c r="I131" i="19"/>
  <c r="G125" i="38"/>
  <c r="D126" i="38"/>
  <c r="D130" i="24"/>
  <c r="G129" i="24"/>
  <c r="G129" i="27"/>
  <c r="D130" i="27"/>
  <c r="B132" i="19"/>
  <c r="I130" i="29"/>
  <c r="G125" i="34"/>
  <c r="D126" i="34"/>
  <c r="J128" i="24"/>
  <c r="B129" i="22"/>
  <c r="H125" i="20"/>
  <c r="I125" i="20"/>
  <c r="I128" i="22"/>
  <c r="B126" i="20"/>
  <c r="E134" i="23"/>
  <c r="F134" i="23" s="1"/>
  <c r="H134" i="23" s="1"/>
  <c r="I132" i="3"/>
  <c r="E126" i="20"/>
  <c r="F126" i="20" s="1"/>
  <c r="B133" i="3"/>
  <c r="I133" i="23"/>
  <c r="F55" i="42" l="1"/>
  <c r="B55" i="42"/>
  <c r="F138" i="42"/>
  <c r="B138" i="42"/>
  <c r="I125" i="13"/>
  <c r="J125" i="13" s="1"/>
  <c r="H72" i="28"/>
  <c r="G72" i="28"/>
  <c r="E73" i="28"/>
  <c r="F73" i="28" s="1"/>
  <c r="G126" i="13"/>
  <c r="H126" i="13" s="1"/>
  <c r="E130" i="24"/>
  <c r="F130" i="24" s="1"/>
  <c r="H130" i="24" s="1"/>
  <c r="E130" i="27"/>
  <c r="F130" i="27" s="1"/>
  <c r="H130" i="27" s="1"/>
  <c r="E130" i="21"/>
  <c r="F130" i="21" s="1"/>
  <c r="H130" i="21" s="1"/>
  <c r="H128" i="25"/>
  <c r="E132" i="18"/>
  <c r="F132" i="18" s="1"/>
  <c r="E126" i="38"/>
  <c r="F126" i="38" s="1"/>
  <c r="H126" i="38" s="1"/>
  <c r="E126" i="34"/>
  <c r="F126" i="34" s="1"/>
  <c r="H126" i="34" s="1"/>
  <c r="D129" i="25"/>
  <c r="E129" i="25" s="1"/>
  <c r="F48" i="24"/>
  <c r="G48" i="24" s="1"/>
  <c r="B48" i="24"/>
  <c r="G47" i="23"/>
  <c r="I47" i="23" s="1"/>
  <c r="G43" i="34"/>
  <c r="I43" i="34" s="1"/>
  <c r="I47" i="28"/>
  <c r="G43" i="31"/>
  <c r="I43" i="31" s="1"/>
  <c r="J132" i="4"/>
  <c r="G45" i="13"/>
  <c r="I45" i="13" s="1"/>
  <c r="I66" i="20"/>
  <c r="D42" i="38"/>
  <c r="E42" i="38"/>
  <c r="D45" i="29"/>
  <c r="E45" i="29"/>
  <c r="J131" i="19"/>
  <c r="G67" i="20"/>
  <c r="B68" i="20"/>
  <c r="H67" i="20"/>
  <c r="E68" i="20"/>
  <c r="F68" i="20" s="1"/>
  <c r="B52" i="3"/>
  <c r="F52" i="3"/>
  <c r="B51" i="4"/>
  <c r="F51" i="4"/>
  <c r="G41" i="38"/>
  <c r="J128" i="26"/>
  <c r="D43" i="37"/>
  <c r="E43" i="37"/>
  <c r="J131" i="18"/>
  <c r="D48" i="27"/>
  <c r="E48" i="27"/>
  <c r="D130" i="26"/>
  <c r="G129" i="26"/>
  <c r="H41" i="38"/>
  <c r="D46" i="25"/>
  <c r="E46" i="25"/>
  <c r="B48" i="21"/>
  <c r="F48" i="21"/>
  <c r="F47" i="22"/>
  <c r="G47" i="22" s="1"/>
  <c r="B47" i="22"/>
  <c r="B50" i="19"/>
  <c r="F50" i="19"/>
  <c r="G50" i="19" s="1"/>
  <c r="G47" i="27"/>
  <c r="I47" i="27" s="1"/>
  <c r="D46" i="13"/>
  <c r="E46" i="13" s="1"/>
  <c r="H45" i="25"/>
  <c r="B50" i="18"/>
  <c r="F50" i="18"/>
  <c r="H50" i="18" s="1"/>
  <c r="D44" i="35"/>
  <c r="E44" i="35"/>
  <c r="D47" i="26"/>
  <c r="E47" i="26"/>
  <c r="D48" i="23"/>
  <c r="E48" i="23" s="1"/>
  <c r="D44" i="31"/>
  <c r="E44" i="31"/>
  <c r="H44" i="29"/>
  <c r="G46" i="26"/>
  <c r="G45" i="25"/>
  <c r="G44" i="29"/>
  <c r="G43" i="35"/>
  <c r="I43" i="35" s="1"/>
  <c r="D44" i="34"/>
  <c r="E44" i="34"/>
  <c r="H42" i="37"/>
  <c r="I42" i="37" s="1"/>
  <c r="H46" i="26"/>
  <c r="J125" i="31"/>
  <c r="D134" i="4"/>
  <c r="G133" i="4"/>
  <c r="J133" i="23"/>
  <c r="D126" i="37"/>
  <c r="G125" i="37"/>
  <c r="J130" i="29"/>
  <c r="G126" i="35"/>
  <c r="D127" i="35"/>
  <c r="J125" i="20"/>
  <c r="J124" i="37"/>
  <c r="G126" i="31"/>
  <c r="D127" i="31"/>
  <c r="I128" i="25"/>
  <c r="J129" i="28"/>
  <c r="J125" i="35"/>
  <c r="J127" i="25"/>
  <c r="B130" i="27"/>
  <c r="I129" i="27"/>
  <c r="B126" i="34"/>
  <c r="I125" i="38"/>
  <c r="D132" i="29"/>
  <c r="G131" i="29"/>
  <c r="I125" i="34"/>
  <c r="I129" i="24"/>
  <c r="J128" i="22"/>
  <c r="D133" i="19"/>
  <c r="G132" i="19"/>
  <c r="B130" i="24"/>
  <c r="I129" i="21"/>
  <c r="B127" i="13"/>
  <c r="F127" i="13"/>
  <c r="B130" i="21"/>
  <c r="B126" i="38"/>
  <c r="G126" i="20"/>
  <c r="D127" i="20"/>
  <c r="E127" i="20" s="1"/>
  <c r="D135" i="23"/>
  <c r="G134" i="23"/>
  <c r="G133" i="3"/>
  <c r="D134" i="3"/>
  <c r="D130" i="22"/>
  <c r="G129" i="22"/>
  <c r="J132" i="3"/>
  <c r="G138" i="42" l="1"/>
  <c r="D139" i="42"/>
  <c r="E139" i="42" s="1"/>
  <c r="D56" i="42"/>
  <c r="H73" i="28"/>
  <c r="G73" i="28"/>
  <c r="I126" i="13"/>
  <c r="J126" i="13" s="1"/>
  <c r="B129" i="25"/>
  <c r="E133" i="19"/>
  <c r="F133" i="19" s="1"/>
  <c r="H133" i="19" s="1"/>
  <c r="F129" i="25"/>
  <c r="H129" i="25" s="1"/>
  <c r="G132" i="18"/>
  <c r="I132" i="18" s="1"/>
  <c r="H132" i="18"/>
  <c r="D133" i="18"/>
  <c r="B133" i="18" s="1"/>
  <c r="E135" i="23"/>
  <c r="F135" i="23" s="1"/>
  <c r="H135" i="23" s="1"/>
  <c r="E126" i="37"/>
  <c r="F126" i="37" s="1"/>
  <c r="H126" i="37" s="1"/>
  <c r="H48" i="24"/>
  <c r="I48" i="24" s="1"/>
  <c r="D49" i="24"/>
  <c r="E49" i="24"/>
  <c r="J125" i="34"/>
  <c r="H50" i="19"/>
  <c r="I50" i="19" s="1"/>
  <c r="I41" i="38"/>
  <c r="I46" i="26"/>
  <c r="F48" i="23"/>
  <c r="G48" i="23" s="1"/>
  <c r="B48" i="23"/>
  <c r="D49" i="21"/>
  <c r="E49" i="21"/>
  <c r="I129" i="26"/>
  <c r="D52" i="4"/>
  <c r="E52" i="4" s="1"/>
  <c r="I45" i="25"/>
  <c r="E130" i="26"/>
  <c r="F130" i="26" s="1"/>
  <c r="H130" i="26" s="1"/>
  <c r="B130" i="26"/>
  <c r="F47" i="26"/>
  <c r="B47" i="26"/>
  <c r="D53" i="3"/>
  <c r="E53" i="3" s="1"/>
  <c r="F46" i="13"/>
  <c r="B46" i="13"/>
  <c r="F46" i="25"/>
  <c r="G46" i="25" s="1"/>
  <c r="B46" i="25"/>
  <c r="B48" i="27"/>
  <c r="F48" i="27"/>
  <c r="G48" i="27" s="1"/>
  <c r="B43" i="37"/>
  <c r="F43" i="37"/>
  <c r="H43" i="37" s="1"/>
  <c r="G52" i="3"/>
  <c r="I44" i="29"/>
  <c r="F44" i="35"/>
  <c r="G44" i="35" s="1"/>
  <c r="B44" i="35"/>
  <c r="D48" i="22"/>
  <c r="E48" i="22"/>
  <c r="G50" i="18"/>
  <c r="I50" i="18" s="1"/>
  <c r="H47" i="22"/>
  <c r="I47" i="22" s="1"/>
  <c r="H52" i="3"/>
  <c r="F45" i="29"/>
  <c r="H45" i="29" s="1"/>
  <c r="F44" i="34"/>
  <c r="H44" i="34" s="1"/>
  <c r="B44" i="34"/>
  <c r="B44" i="31"/>
  <c r="F44" i="31"/>
  <c r="G44" i="31" s="1"/>
  <c r="D51" i="19"/>
  <c r="E51" i="19" s="1"/>
  <c r="H48" i="21"/>
  <c r="B48" i="28"/>
  <c r="H51" i="4"/>
  <c r="E69" i="20"/>
  <c r="F69" i="20" s="1"/>
  <c r="G68" i="20"/>
  <c r="H68" i="20"/>
  <c r="B69" i="20"/>
  <c r="J125" i="38"/>
  <c r="D51" i="18"/>
  <c r="E51" i="18" s="1"/>
  <c r="G48" i="21"/>
  <c r="G51" i="4"/>
  <c r="I67" i="20"/>
  <c r="F42" i="38"/>
  <c r="G42" i="38" s="1"/>
  <c r="B42" i="38"/>
  <c r="E134" i="4"/>
  <c r="F134" i="4" s="1"/>
  <c r="H134" i="4" s="1"/>
  <c r="B134" i="4"/>
  <c r="I133" i="4"/>
  <c r="E127" i="31"/>
  <c r="F127" i="31" s="1"/>
  <c r="H127" i="31" s="1"/>
  <c r="B127" i="31"/>
  <c r="I126" i="35"/>
  <c r="I126" i="31"/>
  <c r="I125" i="37"/>
  <c r="B126" i="37"/>
  <c r="J128" i="25"/>
  <c r="E127" i="35"/>
  <c r="F127" i="35" s="1"/>
  <c r="H127" i="35" s="1"/>
  <c r="B127" i="35"/>
  <c r="B131" i="28"/>
  <c r="J129" i="24"/>
  <c r="J129" i="27"/>
  <c r="G127" i="13"/>
  <c r="D128" i="13"/>
  <c r="E128" i="13" s="1"/>
  <c r="I132" i="19"/>
  <c r="B133" i="19"/>
  <c r="D127" i="34"/>
  <c r="G126" i="34"/>
  <c r="D131" i="21"/>
  <c r="G130" i="21"/>
  <c r="J129" i="21"/>
  <c r="D127" i="38"/>
  <c r="G126" i="38"/>
  <c r="E132" i="29"/>
  <c r="F132" i="29" s="1"/>
  <c r="H132" i="29" s="1"/>
  <c r="D131" i="24"/>
  <c r="G130" i="24"/>
  <c r="I131" i="29"/>
  <c r="G130" i="27"/>
  <c r="D131" i="27"/>
  <c r="I133" i="3"/>
  <c r="B134" i="3"/>
  <c r="I134" i="23"/>
  <c r="B130" i="22"/>
  <c r="I129" i="22"/>
  <c r="F127" i="20"/>
  <c r="B127" i="20"/>
  <c r="E130" i="22"/>
  <c r="F130" i="22" s="1"/>
  <c r="H130" i="22" s="1"/>
  <c r="E134" i="3"/>
  <c r="F134" i="3" s="1"/>
  <c r="H134" i="3" s="1"/>
  <c r="H126" i="20"/>
  <c r="I126" i="20"/>
  <c r="D130" i="25" l="1"/>
  <c r="E130" i="25" s="1"/>
  <c r="F130" i="25" s="1"/>
  <c r="H130" i="25" s="1"/>
  <c r="B139" i="42"/>
  <c r="F139" i="42"/>
  <c r="B56" i="42"/>
  <c r="E56" i="42"/>
  <c r="F56" i="42" s="1"/>
  <c r="G129" i="25"/>
  <c r="I129" i="25" s="1"/>
  <c r="E133" i="18"/>
  <c r="F133" i="18" s="1"/>
  <c r="G133" i="18" s="1"/>
  <c r="E131" i="24"/>
  <c r="F131" i="24" s="1"/>
  <c r="H131" i="24" s="1"/>
  <c r="E127" i="38"/>
  <c r="F127" i="38" s="1"/>
  <c r="H127" i="38" s="1"/>
  <c r="F49" i="24"/>
  <c r="H49" i="24" s="1"/>
  <c r="B49" i="24"/>
  <c r="J126" i="35"/>
  <c r="J126" i="31"/>
  <c r="H44" i="31"/>
  <c r="I44" i="31" s="1"/>
  <c r="G45" i="29"/>
  <c r="I45" i="29" s="1"/>
  <c r="H44" i="35"/>
  <c r="I44" i="35" s="1"/>
  <c r="I68" i="20"/>
  <c r="I51" i="4"/>
  <c r="I48" i="28"/>
  <c r="H46" i="25"/>
  <c r="I46" i="25" s="1"/>
  <c r="J132" i="18"/>
  <c r="H48" i="23"/>
  <c r="I48" i="23" s="1"/>
  <c r="G130" i="26"/>
  <c r="D131" i="26"/>
  <c r="J133" i="3"/>
  <c r="G69" i="20"/>
  <c r="H69" i="20"/>
  <c r="B70" i="20"/>
  <c r="E70" i="20"/>
  <c r="F70" i="20" s="1"/>
  <c r="D47" i="13"/>
  <c r="E47" i="13" s="1"/>
  <c r="B51" i="19"/>
  <c r="F51" i="19"/>
  <c r="H51" i="19" s="1"/>
  <c r="D45" i="34"/>
  <c r="E45" i="34"/>
  <c r="B48" i="22"/>
  <c r="F48" i="22"/>
  <c r="G48" i="22" s="1"/>
  <c r="D44" i="37"/>
  <c r="E44" i="37"/>
  <c r="F53" i="3"/>
  <c r="H53" i="3" s="1"/>
  <c r="B53" i="3"/>
  <c r="B49" i="21"/>
  <c r="F49" i="21"/>
  <c r="H49" i="21" s="1"/>
  <c r="B51" i="18"/>
  <c r="F51" i="18"/>
  <c r="G51" i="18" s="1"/>
  <c r="D46" i="29"/>
  <c r="E46" i="29"/>
  <c r="D43" i="38"/>
  <c r="E43" i="38"/>
  <c r="D45" i="31"/>
  <c r="E45" i="31"/>
  <c r="G43" i="37"/>
  <c r="I43" i="37" s="1"/>
  <c r="D47" i="25"/>
  <c r="E47" i="25"/>
  <c r="D48" i="26"/>
  <c r="E48" i="26"/>
  <c r="F52" i="4"/>
  <c r="H52" i="4" s="1"/>
  <c r="B52" i="4"/>
  <c r="H42" i="38"/>
  <c r="I42" i="38" s="1"/>
  <c r="I52" i="3"/>
  <c r="H47" i="26"/>
  <c r="J132" i="19"/>
  <c r="G44" i="34"/>
  <c r="I44" i="34" s="1"/>
  <c r="D45" i="35"/>
  <c r="E45" i="35"/>
  <c r="D49" i="27"/>
  <c r="E49" i="27"/>
  <c r="G46" i="13"/>
  <c r="G47" i="26"/>
  <c r="D49" i="23"/>
  <c r="E49" i="23" s="1"/>
  <c r="I48" i="21"/>
  <c r="H48" i="27"/>
  <c r="I48" i="27" s="1"/>
  <c r="H46" i="13"/>
  <c r="J129" i="26"/>
  <c r="G134" i="4"/>
  <c r="D135" i="4"/>
  <c r="J130" i="28"/>
  <c r="J133" i="4"/>
  <c r="D128" i="35"/>
  <c r="G127" i="35"/>
  <c r="G126" i="37"/>
  <c r="D127" i="37"/>
  <c r="J125" i="37"/>
  <c r="D128" i="31"/>
  <c r="G127" i="31"/>
  <c r="G132" i="29"/>
  <c r="D133" i="29"/>
  <c r="B127" i="34"/>
  <c r="I127" i="13"/>
  <c r="H127" i="13"/>
  <c r="I126" i="34"/>
  <c r="B131" i="24"/>
  <c r="D134" i="19"/>
  <c r="G133" i="19"/>
  <c r="I130" i="24"/>
  <c r="B127" i="38"/>
  <c r="B131" i="21"/>
  <c r="B128" i="13"/>
  <c r="F128" i="13"/>
  <c r="B131" i="27"/>
  <c r="J131" i="29"/>
  <c r="J156" i="29" s="1"/>
  <c r="E131" i="21"/>
  <c r="F131" i="21" s="1"/>
  <c r="H131" i="21" s="1"/>
  <c r="E131" i="27"/>
  <c r="F131" i="27" s="1"/>
  <c r="H131" i="27" s="1"/>
  <c r="I126" i="38"/>
  <c r="I130" i="27"/>
  <c r="I130" i="21"/>
  <c r="E127" i="34"/>
  <c r="F127" i="34" s="1"/>
  <c r="H127" i="34" s="1"/>
  <c r="G130" i="22"/>
  <c r="D131" i="22"/>
  <c r="D135" i="3"/>
  <c r="G134" i="3"/>
  <c r="D136" i="23"/>
  <c r="G135" i="23"/>
  <c r="J134" i="23"/>
  <c r="J129" i="22"/>
  <c r="G127" i="20"/>
  <c r="D128" i="20"/>
  <c r="J126" i="20"/>
  <c r="B130" i="25" l="1"/>
  <c r="D57" i="42"/>
  <c r="E57" i="42" s="1"/>
  <c r="D140" i="42"/>
  <c r="E140" i="42" s="1"/>
  <c r="G139" i="42"/>
  <c r="H133" i="18"/>
  <c r="D134" i="18"/>
  <c r="E134" i="18" s="1"/>
  <c r="F134" i="18" s="1"/>
  <c r="H134" i="18" s="1"/>
  <c r="E134" i="19"/>
  <c r="F134" i="19" s="1"/>
  <c r="H134" i="19" s="1"/>
  <c r="E136" i="23"/>
  <c r="F136" i="23" s="1"/>
  <c r="H136" i="23" s="1"/>
  <c r="E135" i="3"/>
  <c r="F135" i="3" s="1"/>
  <c r="H135" i="3" s="1"/>
  <c r="B128" i="35"/>
  <c r="E133" i="29"/>
  <c r="F133" i="29" s="1"/>
  <c r="H133" i="29" s="1"/>
  <c r="G49" i="24"/>
  <c r="I49" i="24" s="1"/>
  <c r="D50" i="24"/>
  <c r="J126" i="38"/>
  <c r="G53" i="3"/>
  <c r="I53" i="3" s="1"/>
  <c r="G49" i="21"/>
  <c r="I49" i="21" s="1"/>
  <c r="I69" i="20"/>
  <c r="H48" i="22"/>
  <c r="I48" i="22" s="1"/>
  <c r="B43" i="38"/>
  <c r="F43" i="38"/>
  <c r="G43" i="38" s="1"/>
  <c r="B45" i="34"/>
  <c r="F45" i="34"/>
  <c r="F48" i="26"/>
  <c r="H48" i="26" s="1"/>
  <c r="B48" i="26"/>
  <c r="B44" i="37"/>
  <c r="F44" i="37"/>
  <c r="G44" i="37" s="1"/>
  <c r="B49" i="28"/>
  <c r="F46" i="29"/>
  <c r="D52" i="19"/>
  <c r="E52" i="19" s="1"/>
  <c r="B47" i="25"/>
  <c r="F47" i="25"/>
  <c r="H47" i="25" s="1"/>
  <c r="D52" i="18"/>
  <c r="E52" i="18" s="1"/>
  <c r="D49" i="22"/>
  <c r="E49" i="22"/>
  <c r="G51" i="19"/>
  <c r="I51" i="19" s="1"/>
  <c r="I46" i="13"/>
  <c r="F49" i="27"/>
  <c r="B49" i="27"/>
  <c r="B45" i="35"/>
  <c r="F45" i="35"/>
  <c r="G45" i="35" s="1"/>
  <c r="I47" i="26"/>
  <c r="D53" i="4"/>
  <c r="E53" i="4" s="1"/>
  <c r="F45" i="31"/>
  <c r="G45" i="31" s="1"/>
  <c r="B45" i="31"/>
  <c r="H51" i="18"/>
  <c r="I51" i="18" s="1"/>
  <c r="D54" i="3"/>
  <c r="E54" i="3" s="1"/>
  <c r="F47" i="13"/>
  <c r="G47" i="13" s="1"/>
  <c r="B47" i="13"/>
  <c r="E131" i="26"/>
  <c r="F131" i="26" s="1"/>
  <c r="H131" i="26" s="1"/>
  <c r="B131" i="26"/>
  <c r="B49" i="23"/>
  <c r="F49" i="23"/>
  <c r="H49" i="23" s="1"/>
  <c r="G52" i="4"/>
  <c r="I52" i="4" s="1"/>
  <c r="D50" i="21"/>
  <c r="E50" i="21" s="1"/>
  <c r="B71" i="20"/>
  <c r="H70" i="20"/>
  <c r="G70" i="20"/>
  <c r="E71" i="20"/>
  <c r="F71" i="20" s="1"/>
  <c r="I130" i="26"/>
  <c r="E135" i="4"/>
  <c r="F135" i="4" s="1"/>
  <c r="H135" i="4" s="1"/>
  <c r="B135" i="4"/>
  <c r="I134" i="4"/>
  <c r="I133" i="18"/>
  <c r="E128" i="35"/>
  <c r="F128" i="35" s="1"/>
  <c r="H128" i="35" s="1"/>
  <c r="B128" i="31"/>
  <c r="D131" i="25"/>
  <c r="G130" i="25"/>
  <c r="J126" i="34"/>
  <c r="B127" i="37"/>
  <c r="E127" i="37"/>
  <c r="F127" i="37" s="1"/>
  <c r="H127" i="37" s="1"/>
  <c r="I126" i="37"/>
  <c r="J129" i="25"/>
  <c r="B132" i="28"/>
  <c r="I127" i="31"/>
  <c r="I127" i="35"/>
  <c r="E128" i="31"/>
  <c r="F128" i="31" s="1"/>
  <c r="H128" i="31" s="1"/>
  <c r="J130" i="27"/>
  <c r="D128" i="34"/>
  <c r="G127" i="34"/>
  <c r="D132" i="27"/>
  <c r="G131" i="27"/>
  <c r="G131" i="21"/>
  <c r="D132" i="21"/>
  <c r="I133" i="19"/>
  <c r="J130" i="21"/>
  <c r="G131" i="24"/>
  <c r="D132" i="24"/>
  <c r="B134" i="19"/>
  <c r="J127" i="13"/>
  <c r="I132" i="29"/>
  <c r="G127" i="38"/>
  <c r="D128" i="38"/>
  <c r="D129" i="13"/>
  <c r="G128" i="13"/>
  <c r="J130" i="24"/>
  <c r="B135" i="3"/>
  <c r="I134" i="3"/>
  <c r="B128" i="20"/>
  <c r="B131" i="22"/>
  <c r="I127" i="20"/>
  <c r="H127" i="20"/>
  <c r="E131" i="22"/>
  <c r="F131" i="22" s="1"/>
  <c r="H131" i="22" s="1"/>
  <c r="E128" i="20"/>
  <c r="F128" i="20" s="1"/>
  <c r="I135" i="23"/>
  <c r="I130" i="22"/>
  <c r="F140" i="42" l="1"/>
  <c r="B140" i="42"/>
  <c r="F57" i="42"/>
  <c r="B57" i="42"/>
  <c r="B134" i="18"/>
  <c r="E132" i="27"/>
  <c r="F132" i="27" s="1"/>
  <c r="H132" i="27" s="1"/>
  <c r="E131" i="25"/>
  <c r="F131" i="25" s="1"/>
  <c r="H131" i="25" s="1"/>
  <c r="E132" i="24"/>
  <c r="F132" i="24" s="1"/>
  <c r="H132" i="24" s="1"/>
  <c r="E128" i="34"/>
  <c r="F128" i="34" s="1"/>
  <c r="H128" i="34" s="1"/>
  <c r="E50" i="24"/>
  <c r="F50" i="24" s="1"/>
  <c r="G50" i="24" s="1"/>
  <c r="B50" i="24"/>
  <c r="I49" i="28"/>
  <c r="H47" i="13"/>
  <c r="I47" i="13" s="1"/>
  <c r="G49" i="23"/>
  <c r="I49" i="23" s="1"/>
  <c r="J130" i="26"/>
  <c r="J131" i="28"/>
  <c r="G48" i="26"/>
  <c r="I48" i="26" s="1"/>
  <c r="H45" i="31"/>
  <c r="I45" i="31" s="1"/>
  <c r="H43" i="38"/>
  <c r="I43" i="38" s="1"/>
  <c r="G131" i="26"/>
  <c r="D132" i="26"/>
  <c r="E132" i="26" s="1"/>
  <c r="F50" i="21"/>
  <c r="H50" i="21" s="1"/>
  <c r="B50" i="21"/>
  <c r="D46" i="35"/>
  <c r="E46" i="35"/>
  <c r="D50" i="27"/>
  <c r="E50" i="27" s="1"/>
  <c r="D47" i="29"/>
  <c r="E47" i="29" s="1"/>
  <c r="D46" i="34"/>
  <c r="E46" i="34"/>
  <c r="D48" i="25"/>
  <c r="E48" i="25" s="1"/>
  <c r="D45" i="37"/>
  <c r="E45" i="37"/>
  <c r="G45" i="34"/>
  <c r="J133" i="18"/>
  <c r="G71" i="20"/>
  <c r="B72" i="20"/>
  <c r="E72" i="20"/>
  <c r="F72" i="20" s="1"/>
  <c r="H71" i="20"/>
  <c r="D50" i="23"/>
  <c r="E50" i="23" s="1"/>
  <c r="D46" i="31"/>
  <c r="E46" i="31"/>
  <c r="H44" i="37"/>
  <c r="I44" i="37" s="1"/>
  <c r="H45" i="34"/>
  <c r="D48" i="13"/>
  <c r="E48" i="13" s="1"/>
  <c r="F49" i="22"/>
  <c r="H49" i="22" s="1"/>
  <c r="B49" i="22"/>
  <c r="J134" i="4"/>
  <c r="I70" i="20"/>
  <c r="B53" i="4"/>
  <c r="F53" i="4"/>
  <c r="H53" i="4" s="1"/>
  <c r="F52" i="19"/>
  <c r="G52" i="19" s="1"/>
  <c r="B52" i="19"/>
  <c r="B54" i="3"/>
  <c r="F54" i="3"/>
  <c r="H54" i="3" s="1"/>
  <c r="H49" i="27"/>
  <c r="B52" i="18"/>
  <c r="F52" i="18"/>
  <c r="H52" i="18" s="1"/>
  <c r="G46" i="29"/>
  <c r="D44" i="38"/>
  <c r="E44" i="38"/>
  <c r="H45" i="35"/>
  <c r="I45" i="35" s="1"/>
  <c r="G49" i="27"/>
  <c r="G47" i="25"/>
  <c r="I47" i="25" s="1"/>
  <c r="H46" i="29"/>
  <c r="D49" i="26"/>
  <c r="E49" i="26" s="1"/>
  <c r="D129" i="35"/>
  <c r="G128" i="35"/>
  <c r="J126" i="37"/>
  <c r="D135" i="18"/>
  <c r="G134" i="18"/>
  <c r="G135" i="4"/>
  <c r="D136" i="4"/>
  <c r="D129" i="31"/>
  <c r="G128" i="31"/>
  <c r="G127" i="37"/>
  <c r="D128" i="37"/>
  <c r="J127" i="31"/>
  <c r="I130" i="25"/>
  <c r="B131" i="25"/>
  <c r="J127" i="35"/>
  <c r="J127" i="20"/>
  <c r="I131" i="21"/>
  <c r="B129" i="13"/>
  <c r="B128" i="38"/>
  <c r="D134" i="29"/>
  <c r="G133" i="29"/>
  <c r="E128" i="38"/>
  <c r="F128" i="38" s="1"/>
  <c r="H128" i="38" s="1"/>
  <c r="G134" i="19"/>
  <c r="D135" i="19"/>
  <c r="I131" i="27"/>
  <c r="B132" i="21"/>
  <c r="J130" i="22"/>
  <c r="J134" i="3"/>
  <c r="I127" i="38"/>
  <c r="J133" i="19"/>
  <c r="B132" i="27"/>
  <c r="I128" i="13"/>
  <c r="H128" i="13"/>
  <c r="B132" i="24"/>
  <c r="I127" i="34"/>
  <c r="E129" i="13"/>
  <c r="F129" i="13" s="1"/>
  <c r="I131" i="24"/>
  <c r="E132" i="21"/>
  <c r="F132" i="21" s="1"/>
  <c r="H132" i="21" s="1"/>
  <c r="B128" i="34"/>
  <c r="G131" i="22"/>
  <c r="D132" i="22"/>
  <c r="G128" i="20"/>
  <c r="D129" i="20"/>
  <c r="J135" i="23"/>
  <c r="D137" i="23"/>
  <c r="G136" i="23"/>
  <c r="D136" i="3"/>
  <c r="G135" i="3"/>
  <c r="D141" i="42" l="1"/>
  <c r="E141" i="42" s="1"/>
  <c r="G140" i="42"/>
  <c r="D58" i="42"/>
  <c r="B132" i="26"/>
  <c r="B128" i="37"/>
  <c r="E134" i="29"/>
  <c r="F134" i="29" s="1"/>
  <c r="H134" i="29" s="1"/>
  <c r="H50" i="24"/>
  <c r="I50" i="24" s="1"/>
  <c r="D51" i="24"/>
  <c r="F132" i="26"/>
  <c r="G49" i="22"/>
  <c r="I49" i="22" s="1"/>
  <c r="H52" i="19"/>
  <c r="I52" i="19" s="1"/>
  <c r="G50" i="21"/>
  <c r="I50" i="21" s="1"/>
  <c r="I46" i="29"/>
  <c r="D53" i="18"/>
  <c r="E53" i="18" s="1"/>
  <c r="D54" i="4"/>
  <c r="E54" i="4" s="1"/>
  <c r="B46" i="34"/>
  <c r="F46" i="34"/>
  <c r="G46" i="34" s="1"/>
  <c r="G53" i="4"/>
  <c r="I53" i="4" s="1"/>
  <c r="F46" i="31"/>
  <c r="G46" i="31" s="1"/>
  <c r="B46" i="31"/>
  <c r="I49" i="27"/>
  <c r="D50" i="22"/>
  <c r="E50" i="22"/>
  <c r="B50" i="23"/>
  <c r="F50" i="23"/>
  <c r="H50" i="23" s="1"/>
  <c r="F47" i="29"/>
  <c r="H47" i="29" s="1"/>
  <c r="D51" i="21"/>
  <c r="E51" i="21"/>
  <c r="D55" i="3"/>
  <c r="E55" i="3" s="1"/>
  <c r="B44" i="38"/>
  <c r="F44" i="38"/>
  <c r="F48" i="13"/>
  <c r="B48" i="13"/>
  <c r="I71" i="20"/>
  <c r="F45" i="37"/>
  <c r="G45" i="37" s="1"/>
  <c r="B45" i="37"/>
  <c r="B50" i="27"/>
  <c r="F50" i="27"/>
  <c r="H50" i="27" s="1"/>
  <c r="I45" i="34"/>
  <c r="G72" i="20"/>
  <c r="E73" i="20"/>
  <c r="B73" i="20"/>
  <c r="H72" i="20"/>
  <c r="I131" i="26"/>
  <c r="B49" i="26"/>
  <c r="F49" i="26"/>
  <c r="H49" i="26" s="1"/>
  <c r="G52" i="18"/>
  <c r="I52" i="18" s="1"/>
  <c r="G54" i="3"/>
  <c r="I54" i="3" s="1"/>
  <c r="D53" i="19"/>
  <c r="E53" i="19" s="1"/>
  <c r="B50" i="28"/>
  <c r="B48" i="25"/>
  <c r="F48" i="25"/>
  <c r="G48" i="25" s="1"/>
  <c r="F46" i="35"/>
  <c r="G46" i="35" s="1"/>
  <c r="B46" i="35"/>
  <c r="E136" i="4"/>
  <c r="F136" i="4" s="1"/>
  <c r="H136" i="4" s="1"/>
  <c r="B136" i="4"/>
  <c r="I135" i="4"/>
  <c r="J131" i="27"/>
  <c r="I134" i="18"/>
  <c r="E135" i="18"/>
  <c r="F135" i="18" s="1"/>
  <c r="H135" i="18" s="1"/>
  <c r="B135" i="18"/>
  <c r="I128" i="35"/>
  <c r="E129" i="35"/>
  <c r="F129" i="35" s="1"/>
  <c r="H129" i="35" s="1"/>
  <c r="B129" i="35"/>
  <c r="I127" i="37"/>
  <c r="I128" i="31"/>
  <c r="D132" i="25"/>
  <c r="G131" i="25"/>
  <c r="E129" i="31"/>
  <c r="F129" i="31" s="1"/>
  <c r="H129" i="31" s="1"/>
  <c r="B129" i="31"/>
  <c r="E128" i="37"/>
  <c r="F128" i="37" s="1"/>
  <c r="H128" i="37" s="1"/>
  <c r="J130" i="25"/>
  <c r="J131" i="21"/>
  <c r="B133" i="28"/>
  <c r="J128" i="13"/>
  <c r="J131" i="24"/>
  <c r="D129" i="38"/>
  <c r="G128" i="38"/>
  <c r="D133" i="21"/>
  <c r="G132" i="21"/>
  <c r="J127" i="34"/>
  <c r="I134" i="19"/>
  <c r="D130" i="13"/>
  <c r="E130" i="13" s="1"/>
  <c r="G129" i="13"/>
  <c r="B135" i="19"/>
  <c r="D133" i="24"/>
  <c r="G132" i="24"/>
  <c r="G132" i="27"/>
  <c r="D133" i="27"/>
  <c r="G128" i="34"/>
  <c r="D129" i="34"/>
  <c r="I133" i="29"/>
  <c r="J127" i="38"/>
  <c r="E135" i="19"/>
  <c r="F135" i="19" s="1"/>
  <c r="H135" i="19" s="1"/>
  <c r="B136" i="3"/>
  <c r="B129" i="20"/>
  <c r="E129" i="20"/>
  <c r="F129" i="20" s="1"/>
  <c r="H128" i="20"/>
  <c r="I128" i="20"/>
  <c r="B132" i="22"/>
  <c r="I135" i="3"/>
  <c r="I136" i="23"/>
  <c r="I131" i="22"/>
  <c r="E136" i="3"/>
  <c r="F136" i="3" s="1"/>
  <c r="H136" i="3" s="1"/>
  <c r="E137" i="23"/>
  <c r="F137" i="23" s="1"/>
  <c r="H137" i="23" s="1"/>
  <c r="E132" i="22"/>
  <c r="F132" i="22" s="1"/>
  <c r="H132" i="22" s="1"/>
  <c r="B58" i="42" l="1"/>
  <c r="E58" i="42"/>
  <c r="F58" i="42" s="1"/>
  <c r="B141" i="42"/>
  <c r="F141" i="42"/>
  <c r="E133" i="27"/>
  <c r="F133" i="27" s="1"/>
  <c r="H133" i="27" s="1"/>
  <c r="H132" i="26"/>
  <c r="E133" i="24"/>
  <c r="F133" i="24" s="1"/>
  <c r="H133" i="24" s="1"/>
  <c r="E133" i="21"/>
  <c r="F133" i="21" s="1"/>
  <c r="H133" i="21" s="1"/>
  <c r="E129" i="34"/>
  <c r="F129" i="34" s="1"/>
  <c r="H129" i="34" s="1"/>
  <c r="E51" i="24"/>
  <c r="F51" i="24" s="1"/>
  <c r="D52" i="24" s="1"/>
  <c r="B51" i="24"/>
  <c r="G47" i="29"/>
  <c r="I47" i="29" s="1"/>
  <c r="H46" i="34"/>
  <c r="I46" i="34" s="1"/>
  <c r="G132" i="26"/>
  <c r="D133" i="26"/>
  <c r="E133" i="26" s="1"/>
  <c r="H46" i="31"/>
  <c r="I46" i="31" s="1"/>
  <c r="H46" i="35"/>
  <c r="I46" i="35" s="1"/>
  <c r="G50" i="23"/>
  <c r="I50" i="23" s="1"/>
  <c r="H48" i="25"/>
  <c r="I48" i="25" s="1"/>
  <c r="H45" i="37"/>
  <c r="I45" i="37" s="1"/>
  <c r="I72" i="20"/>
  <c r="D49" i="13"/>
  <c r="F55" i="3"/>
  <c r="G55" i="3" s="1"/>
  <c r="B55" i="3"/>
  <c r="B54" i="4"/>
  <c r="F54" i="4"/>
  <c r="J132" i="28"/>
  <c r="F73" i="20"/>
  <c r="E74" i="20"/>
  <c r="D47" i="31"/>
  <c r="E47" i="31" s="1"/>
  <c r="J134" i="18"/>
  <c r="D50" i="26"/>
  <c r="E50" i="26" s="1"/>
  <c r="F51" i="21"/>
  <c r="H51" i="21" s="1"/>
  <c r="B51" i="21"/>
  <c r="D46" i="37"/>
  <c r="E46" i="37"/>
  <c r="D45" i="38"/>
  <c r="E45" i="38"/>
  <c r="F50" i="22"/>
  <c r="H50" i="22" s="1"/>
  <c r="B50" i="22"/>
  <c r="D47" i="35"/>
  <c r="E47" i="35" s="1"/>
  <c r="I50" i="28"/>
  <c r="G49" i="26"/>
  <c r="I49" i="26" s="1"/>
  <c r="G44" i="38"/>
  <c r="D51" i="27"/>
  <c r="E51" i="27" s="1"/>
  <c r="G48" i="13"/>
  <c r="D48" i="29"/>
  <c r="E48" i="29" s="1"/>
  <c r="D47" i="34"/>
  <c r="E47" i="34"/>
  <c r="F53" i="18"/>
  <c r="G53" i="18" s="1"/>
  <c r="B53" i="18"/>
  <c r="D49" i="25"/>
  <c r="E49" i="25"/>
  <c r="F53" i="19"/>
  <c r="H53" i="19" s="1"/>
  <c r="B53" i="19"/>
  <c r="J131" i="26"/>
  <c r="G50" i="27"/>
  <c r="I50" i="27" s="1"/>
  <c r="H48" i="13"/>
  <c r="H44" i="38"/>
  <c r="D51" i="23"/>
  <c r="E51" i="23" s="1"/>
  <c r="D136" i="18"/>
  <c r="G135" i="18"/>
  <c r="G136" i="4"/>
  <c r="D137" i="4"/>
  <c r="J128" i="35"/>
  <c r="J135" i="4"/>
  <c r="G129" i="35"/>
  <c r="D130" i="35"/>
  <c r="J136" i="23"/>
  <c r="G129" i="31"/>
  <c r="D130" i="31"/>
  <c r="I131" i="25"/>
  <c r="E132" i="25"/>
  <c r="F132" i="25" s="1"/>
  <c r="H132" i="25" s="1"/>
  <c r="B132" i="25"/>
  <c r="J128" i="31"/>
  <c r="G128" i="37"/>
  <c r="D129" i="37"/>
  <c r="J127" i="37"/>
  <c r="G135" i="19"/>
  <c r="D136" i="19"/>
  <c r="J128" i="20"/>
  <c r="B129" i="34"/>
  <c r="I128" i="34"/>
  <c r="I132" i="21"/>
  <c r="B133" i="27"/>
  <c r="I132" i="24"/>
  <c r="I129" i="13"/>
  <c r="H129" i="13"/>
  <c r="B133" i="21"/>
  <c r="I132" i="27"/>
  <c r="B133" i="24"/>
  <c r="B130" i="13"/>
  <c r="F130" i="13"/>
  <c r="J134" i="19"/>
  <c r="I128" i="38"/>
  <c r="B129" i="38"/>
  <c r="G134" i="29"/>
  <c r="D135" i="29"/>
  <c r="E129" i="38"/>
  <c r="F129" i="38" s="1"/>
  <c r="H129" i="38" s="1"/>
  <c r="G132" i="22"/>
  <c r="D133" i="22"/>
  <c r="G137" i="23"/>
  <c r="D138" i="23"/>
  <c r="G129" i="20"/>
  <c r="D130" i="20"/>
  <c r="E130" i="20" s="1"/>
  <c r="G136" i="3"/>
  <c r="D137" i="3"/>
  <c r="J135" i="3"/>
  <c r="J131" i="22"/>
  <c r="D59" i="42" l="1"/>
  <c r="E59" i="42" s="1"/>
  <c r="D142" i="42"/>
  <c r="E142" i="42" s="1"/>
  <c r="G141" i="42"/>
  <c r="B133" i="26"/>
  <c r="E133" i="22"/>
  <c r="F133" i="22" s="1"/>
  <c r="H133" i="22" s="1"/>
  <c r="E137" i="3"/>
  <c r="F137" i="3" s="1"/>
  <c r="H137" i="3" s="1"/>
  <c r="E138" i="23"/>
  <c r="F138" i="23" s="1"/>
  <c r="H138" i="23" s="1"/>
  <c r="B136" i="18"/>
  <c r="E135" i="29"/>
  <c r="F135" i="29" s="1"/>
  <c r="H135" i="29" s="1"/>
  <c r="I44" i="38"/>
  <c r="H55" i="3"/>
  <c r="I55" i="3" s="1"/>
  <c r="H51" i="24"/>
  <c r="E52" i="24"/>
  <c r="F52" i="24" s="1"/>
  <c r="B52" i="24"/>
  <c r="G51" i="24"/>
  <c r="I132" i="26"/>
  <c r="F133" i="26"/>
  <c r="H133" i="26" s="1"/>
  <c r="I48" i="13"/>
  <c r="G53" i="19"/>
  <c r="I53" i="19" s="1"/>
  <c r="G51" i="21"/>
  <c r="I51" i="21" s="1"/>
  <c r="B51" i="28"/>
  <c r="B51" i="27"/>
  <c r="F51" i="27"/>
  <c r="G51" i="27" s="1"/>
  <c r="H73" i="20"/>
  <c r="G73" i="20"/>
  <c r="G74" i="20" s="1"/>
  <c r="D54" i="18"/>
  <c r="E54" i="18" s="1"/>
  <c r="D51" i="22"/>
  <c r="E51" i="22" s="1"/>
  <c r="B51" i="23"/>
  <c r="F51" i="23"/>
  <c r="G50" i="22"/>
  <c r="I50" i="22" s="1"/>
  <c r="D56" i="3"/>
  <c r="E56" i="3" s="1"/>
  <c r="D54" i="19"/>
  <c r="E54" i="19" s="1"/>
  <c r="F47" i="34"/>
  <c r="H47" i="34" s="1"/>
  <c r="B47" i="34"/>
  <c r="D52" i="21"/>
  <c r="E52" i="21" s="1"/>
  <c r="D55" i="4"/>
  <c r="E55" i="4" s="1"/>
  <c r="B49" i="13"/>
  <c r="F45" i="38"/>
  <c r="H45" i="38" s="1"/>
  <c r="B45" i="38"/>
  <c r="H54" i="4"/>
  <c r="E49" i="13"/>
  <c r="F49" i="13" s="1"/>
  <c r="F49" i="25"/>
  <c r="H49" i="25" s="1"/>
  <c r="B49" i="25"/>
  <c r="F48" i="29"/>
  <c r="B50" i="26"/>
  <c r="F50" i="26"/>
  <c r="G50" i="26" s="1"/>
  <c r="J132" i="27"/>
  <c r="H53" i="18"/>
  <c r="I53" i="18" s="1"/>
  <c r="F47" i="35"/>
  <c r="H47" i="35" s="1"/>
  <c r="B47" i="35"/>
  <c r="F46" i="37"/>
  <c r="H46" i="37" s="1"/>
  <c r="B46" i="37"/>
  <c r="B47" i="31"/>
  <c r="F47" i="31"/>
  <c r="H47" i="31" s="1"/>
  <c r="G54" i="4"/>
  <c r="E137" i="4"/>
  <c r="F137" i="4" s="1"/>
  <c r="H137" i="4" s="1"/>
  <c r="B137" i="4"/>
  <c r="I136" i="4"/>
  <c r="E136" i="18"/>
  <c r="F136" i="18" s="1"/>
  <c r="H136" i="18" s="1"/>
  <c r="I135" i="18"/>
  <c r="I129" i="35"/>
  <c r="J131" i="25"/>
  <c r="J156" i="25" s="1"/>
  <c r="E130" i="35"/>
  <c r="F130" i="35" s="1"/>
  <c r="H130" i="35" s="1"/>
  <c r="B130" i="35"/>
  <c r="E129" i="37"/>
  <c r="F129" i="37" s="1"/>
  <c r="H129" i="37" s="1"/>
  <c r="B129" i="37"/>
  <c r="I128" i="37"/>
  <c r="B134" i="28"/>
  <c r="D133" i="25"/>
  <c r="G132" i="25"/>
  <c r="B130" i="31"/>
  <c r="I129" i="31"/>
  <c r="E130" i="31"/>
  <c r="F130" i="31" s="1"/>
  <c r="H130" i="31" s="1"/>
  <c r="D130" i="38"/>
  <c r="G129" i="38"/>
  <c r="J132" i="21"/>
  <c r="J128" i="34"/>
  <c r="I134" i="29"/>
  <c r="G130" i="13"/>
  <c r="D131" i="13"/>
  <c r="E131" i="13" s="1"/>
  <c r="J129" i="13"/>
  <c r="G133" i="24"/>
  <c r="D134" i="24"/>
  <c r="G133" i="21"/>
  <c r="D134" i="21"/>
  <c r="E134" i="21" s="1"/>
  <c r="J132" i="24"/>
  <c r="B136" i="19"/>
  <c r="G129" i="34"/>
  <c r="D130" i="34"/>
  <c r="E136" i="19"/>
  <c r="F136" i="19" s="1"/>
  <c r="H136" i="19" s="1"/>
  <c r="J128" i="38"/>
  <c r="G133" i="27"/>
  <c r="D134" i="27"/>
  <c r="I135" i="19"/>
  <c r="I137" i="23"/>
  <c r="B137" i="3"/>
  <c r="I136" i="3"/>
  <c r="B133" i="22"/>
  <c r="H129" i="20"/>
  <c r="I129" i="20"/>
  <c r="B130" i="20"/>
  <c r="F130" i="20"/>
  <c r="I132" i="22"/>
  <c r="F142" i="42" l="1"/>
  <c r="B142" i="42"/>
  <c r="F59" i="42"/>
  <c r="B59" i="42"/>
  <c r="E134" i="27"/>
  <c r="F134" i="27" s="1"/>
  <c r="H134" i="27" s="1"/>
  <c r="E134" i="24"/>
  <c r="F134" i="24" s="1"/>
  <c r="H134" i="24" s="1"/>
  <c r="E130" i="38"/>
  <c r="F130" i="38" s="1"/>
  <c r="H130" i="38" s="1"/>
  <c r="E130" i="34"/>
  <c r="F130" i="34" s="1"/>
  <c r="H130" i="34" s="1"/>
  <c r="D53" i="24"/>
  <c r="G52" i="24"/>
  <c r="H52" i="24"/>
  <c r="I51" i="24"/>
  <c r="D134" i="26"/>
  <c r="G133" i="26"/>
  <c r="I51" i="28"/>
  <c r="J132" i="26"/>
  <c r="J133" i="28"/>
  <c r="J129" i="35"/>
  <c r="G47" i="31"/>
  <c r="I47" i="31" s="1"/>
  <c r="G45" i="38"/>
  <c r="I45" i="38" s="1"/>
  <c r="H50" i="26"/>
  <c r="I50" i="26" s="1"/>
  <c r="G47" i="34"/>
  <c r="I47" i="34" s="1"/>
  <c r="G46" i="37"/>
  <c r="I46" i="37" s="1"/>
  <c r="J137" i="23"/>
  <c r="G47" i="35"/>
  <c r="I47" i="35" s="1"/>
  <c r="D50" i="13"/>
  <c r="E50" i="13" s="1"/>
  <c r="H49" i="13"/>
  <c r="G49" i="13"/>
  <c r="J135" i="18"/>
  <c r="F52" i="21"/>
  <c r="G52" i="21" s="1"/>
  <c r="B52" i="21"/>
  <c r="B56" i="3"/>
  <c r="F56" i="3"/>
  <c r="D50" i="25"/>
  <c r="E50" i="25"/>
  <c r="D52" i="27"/>
  <c r="E52" i="27" s="1"/>
  <c r="F51" i="22"/>
  <c r="G51" i="22" s="1"/>
  <c r="B51" i="22"/>
  <c r="H51" i="27"/>
  <c r="I51" i="27" s="1"/>
  <c r="D48" i="31"/>
  <c r="E48" i="31" s="1"/>
  <c r="D49" i="29"/>
  <c r="E49" i="29"/>
  <c r="I54" i="4"/>
  <c r="J129" i="31"/>
  <c r="D48" i="35"/>
  <c r="E48" i="35"/>
  <c r="G48" i="29"/>
  <c r="D48" i="34"/>
  <c r="E48" i="34" s="1"/>
  <c r="D52" i="23"/>
  <c r="E52" i="23" s="1"/>
  <c r="B54" i="18"/>
  <c r="F54" i="18"/>
  <c r="H54" i="18" s="1"/>
  <c r="H48" i="29"/>
  <c r="G49" i="25"/>
  <c r="I49" i="25" s="1"/>
  <c r="B55" i="4"/>
  <c r="F55" i="4"/>
  <c r="F54" i="19"/>
  <c r="H54" i="19" s="1"/>
  <c r="B54" i="19"/>
  <c r="G51" i="23"/>
  <c r="I73" i="20"/>
  <c r="I74" i="20" s="1"/>
  <c r="H74" i="20"/>
  <c r="J136" i="3"/>
  <c r="D47" i="37"/>
  <c r="E47" i="37" s="1"/>
  <c r="D51" i="26"/>
  <c r="E51" i="26"/>
  <c r="D46" i="38"/>
  <c r="E46" i="38" s="1"/>
  <c r="H51" i="23"/>
  <c r="G130" i="35"/>
  <c r="D131" i="35"/>
  <c r="G136" i="18"/>
  <c r="D137" i="18"/>
  <c r="J136" i="4"/>
  <c r="D138" i="4"/>
  <c r="G137" i="4"/>
  <c r="G130" i="31"/>
  <c r="D131" i="31"/>
  <c r="I132" i="25"/>
  <c r="J128" i="37"/>
  <c r="E133" i="25"/>
  <c r="F133" i="25" s="1"/>
  <c r="H133" i="25" s="1"/>
  <c r="B133" i="25"/>
  <c r="D130" i="37"/>
  <c r="G129" i="37"/>
  <c r="J132" i="22"/>
  <c r="D137" i="19"/>
  <c r="G136" i="19"/>
  <c r="I133" i="27"/>
  <c r="B130" i="34"/>
  <c r="J135" i="19"/>
  <c r="G135" i="29"/>
  <c r="D136" i="29"/>
  <c r="I129" i="34"/>
  <c r="B134" i="24"/>
  <c r="B134" i="21"/>
  <c r="F134" i="21"/>
  <c r="H134" i="21" s="1"/>
  <c r="I133" i="24"/>
  <c r="I133" i="21"/>
  <c r="I129" i="38"/>
  <c r="F131" i="13"/>
  <c r="B131" i="13"/>
  <c r="J129" i="20"/>
  <c r="B134" i="27"/>
  <c r="H130" i="13"/>
  <c r="I130" i="13"/>
  <c r="B130" i="38"/>
  <c r="G138" i="23"/>
  <c r="D139" i="23"/>
  <c r="D131" i="20"/>
  <c r="E131" i="20" s="1"/>
  <c r="G130" i="20"/>
  <c r="G133" i="22"/>
  <c r="D134" i="22"/>
  <c r="D138" i="3"/>
  <c r="G137" i="3"/>
  <c r="D60" i="42" l="1"/>
  <c r="E60" i="42" s="1"/>
  <c r="G142" i="42"/>
  <c r="D143" i="42"/>
  <c r="E137" i="19"/>
  <c r="F137" i="19" s="1"/>
  <c r="H137" i="19" s="1"/>
  <c r="E139" i="23"/>
  <c r="F139" i="23" s="1"/>
  <c r="H139" i="23" s="1"/>
  <c r="E134" i="22"/>
  <c r="F134" i="22" s="1"/>
  <c r="H134" i="22" s="1"/>
  <c r="E130" i="37"/>
  <c r="F130" i="37" s="1"/>
  <c r="H130" i="37" s="1"/>
  <c r="E131" i="35"/>
  <c r="F131" i="35" s="1"/>
  <c r="H131" i="35" s="1"/>
  <c r="E131" i="31"/>
  <c r="F131" i="31" s="1"/>
  <c r="H131" i="31" s="1"/>
  <c r="E136" i="29"/>
  <c r="F136" i="29" s="1"/>
  <c r="H136" i="29" s="1"/>
  <c r="I52" i="24"/>
  <c r="E53" i="24"/>
  <c r="F53" i="24" s="1"/>
  <c r="H53" i="24" s="1"/>
  <c r="B53" i="24"/>
  <c r="I133" i="26"/>
  <c r="E134" i="26"/>
  <c r="F134" i="26" s="1"/>
  <c r="H134" i="26" s="1"/>
  <c r="B134" i="26"/>
  <c r="I48" i="29"/>
  <c r="I51" i="23"/>
  <c r="B52" i="23"/>
  <c r="F52" i="23"/>
  <c r="G52" i="23" s="1"/>
  <c r="F47" i="37"/>
  <c r="G47" i="37" s="1"/>
  <c r="B47" i="37"/>
  <c r="F49" i="29"/>
  <c r="D52" i="22"/>
  <c r="E52" i="22" s="1"/>
  <c r="B50" i="25"/>
  <c r="F50" i="25"/>
  <c r="G50" i="25" s="1"/>
  <c r="D53" i="21"/>
  <c r="E53" i="21" s="1"/>
  <c r="B52" i="28"/>
  <c r="D55" i="19"/>
  <c r="E55" i="19" s="1"/>
  <c r="B48" i="34"/>
  <c r="F48" i="34"/>
  <c r="H48" i="34" s="1"/>
  <c r="D57" i="3"/>
  <c r="E57" i="3" s="1"/>
  <c r="D56" i="4"/>
  <c r="E56" i="4" s="1"/>
  <c r="F52" i="27"/>
  <c r="H52" i="27" s="1"/>
  <c r="B52" i="27"/>
  <c r="H56" i="3"/>
  <c r="G55" i="4"/>
  <c r="D55" i="18"/>
  <c r="E55" i="18" s="1"/>
  <c r="F48" i="31"/>
  <c r="H48" i="31" s="1"/>
  <c r="B48" i="31"/>
  <c r="G56" i="3"/>
  <c r="I49" i="13"/>
  <c r="B46" i="38"/>
  <c r="F46" i="38"/>
  <c r="G54" i="18"/>
  <c r="I54" i="18" s="1"/>
  <c r="B48" i="35"/>
  <c r="F48" i="35"/>
  <c r="H48" i="35" s="1"/>
  <c r="H55" i="4"/>
  <c r="H51" i="22"/>
  <c r="I51" i="22" s="1"/>
  <c r="H52" i="21"/>
  <c r="I52" i="21" s="1"/>
  <c r="B50" i="13"/>
  <c r="F50" i="13"/>
  <c r="G50" i="13" s="1"/>
  <c r="J133" i="27"/>
  <c r="F51" i="26"/>
  <c r="G51" i="26" s="1"/>
  <c r="B51" i="26"/>
  <c r="G54" i="19"/>
  <c r="I54" i="19" s="1"/>
  <c r="E137" i="18"/>
  <c r="F137" i="18" s="1"/>
  <c r="H137" i="18" s="1"/>
  <c r="B137" i="18"/>
  <c r="I137" i="4"/>
  <c r="I136" i="18"/>
  <c r="E138" i="4"/>
  <c r="F138" i="4" s="1"/>
  <c r="H138" i="4" s="1"/>
  <c r="B138" i="4"/>
  <c r="B131" i="35"/>
  <c r="J130" i="13"/>
  <c r="J133" i="24"/>
  <c r="I130" i="35"/>
  <c r="G133" i="25"/>
  <c r="D134" i="25"/>
  <c r="I129" i="37"/>
  <c r="B130" i="37"/>
  <c r="B131" i="31"/>
  <c r="I130" i="31"/>
  <c r="B135" i="28"/>
  <c r="J129" i="38"/>
  <c r="D131" i="34"/>
  <c r="G130" i="34"/>
  <c r="G131" i="13"/>
  <c r="D132" i="13"/>
  <c r="E132" i="13" s="1"/>
  <c r="G134" i="21"/>
  <c r="D135" i="21"/>
  <c r="J129" i="34"/>
  <c r="G134" i="24"/>
  <c r="D135" i="24"/>
  <c r="I136" i="19"/>
  <c r="D135" i="27"/>
  <c r="G134" i="27"/>
  <c r="G130" i="38"/>
  <c r="D131" i="38"/>
  <c r="J133" i="21"/>
  <c r="I135" i="29"/>
  <c r="B137" i="19"/>
  <c r="I138" i="23"/>
  <c r="I133" i="22"/>
  <c r="B138" i="3"/>
  <c r="I130" i="20"/>
  <c r="H130" i="20"/>
  <c r="B134" i="22"/>
  <c r="E138" i="3"/>
  <c r="F138" i="3" s="1"/>
  <c r="H138" i="3" s="1"/>
  <c r="F131" i="20"/>
  <c r="B131" i="20"/>
  <c r="I137" i="3"/>
  <c r="B143" i="42" l="1"/>
  <c r="E143" i="42"/>
  <c r="F143" i="42" s="1"/>
  <c r="B60" i="42"/>
  <c r="F60" i="42"/>
  <c r="E135" i="24"/>
  <c r="F135" i="24" s="1"/>
  <c r="H135" i="24" s="1"/>
  <c r="E135" i="21"/>
  <c r="F135" i="21" s="1"/>
  <c r="H135" i="21" s="1"/>
  <c r="E134" i="25"/>
  <c r="F134" i="25" s="1"/>
  <c r="H134" i="25" s="1"/>
  <c r="E131" i="38"/>
  <c r="F131" i="38" s="1"/>
  <c r="H131" i="38" s="1"/>
  <c r="E131" i="34"/>
  <c r="F131" i="34" s="1"/>
  <c r="H131" i="34" s="1"/>
  <c r="G53" i="24"/>
  <c r="I53" i="24" s="1"/>
  <c r="D54" i="24"/>
  <c r="J137" i="4"/>
  <c r="D135" i="26"/>
  <c r="G134" i="26"/>
  <c r="J133" i="26"/>
  <c r="H51" i="26"/>
  <c r="I51" i="26" s="1"/>
  <c r="G48" i="31"/>
  <c r="I48" i="31" s="1"/>
  <c r="H47" i="37"/>
  <c r="I47" i="37" s="1"/>
  <c r="I55" i="4"/>
  <c r="G48" i="35"/>
  <c r="I48" i="35" s="1"/>
  <c r="G52" i="27"/>
  <c r="I52" i="27" s="1"/>
  <c r="I52" i="28"/>
  <c r="H50" i="25"/>
  <c r="I50" i="25" s="1"/>
  <c r="I56" i="3"/>
  <c r="F57" i="3"/>
  <c r="H57" i="3" s="1"/>
  <c r="B57" i="3"/>
  <c r="D47" i="38"/>
  <c r="E47" i="38" s="1"/>
  <c r="D49" i="34"/>
  <c r="E49" i="34"/>
  <c r="B52" i="22"/>
  <c r="F52" i="22"/>
  <c r="G52" i="22" s="1"/>
  <c r="D48" i="37"/>
  <c r="E48" i="37" s="1"/>
  <c r="D52" i="26"/>
  <c r="E52" i="26" s="1"/>
  <c r="D49" i="31"/>
  <c r="E49" i="31" s="1"/>
  <c r="D53" i="27"/>
  <c r="E53" i="27" s="1"/>
  <c r="D50" i="29"/>
  <c r="E50" i="29" s="1"/>
  <c r="G46" i="38"/>
  <c r="G48" i="34"/>
  <c r="I48" i="34" s="1"/>
  <c r="F53" i="21"/>
  <c r="B53" i="21"/>
  <c r="G49" i="29"/>
  <c r="D53" i="23"/>
  <c r="E53" i="23" s="1"/>
  <c r="D51" i="13"/>
  <c r="H46" i="38"/>
  <c r="B55" i="18"/>
  <c r="F55" i="18"/>
  <c r="D51" i="25"/>
  <c r="E51" i="25" s="1"/>
  <c r="H49" i="29"/>
  <c r="H50" i="13"/>
  <c r="I50" i="13" s="1"/>
  <c r="D49" i="35"/>
  <c r="E49" i="35" s="1"/>
  <c r="F56" i="4"/>
  <c r="G56" i="4" s="1"/>
  <c r="B56" i="4"/>
  <c r="B55" i="19"/>
  <c r="F55" i="19"/>
  <c r="H55" i="19" s="1"/>
  <c r="H52" i="23"/>
  <c r="I52" i="23" s="1"/>
  <c r="J134" i="28"/>
  <c r="J130" i="35"/>
  <c r="J136" i="18"/>
  <c r="J129" i="37"/>
  <c r="D139" i="4"/>
  <c r="G138" i="4"/>
  <c r="D132" i="35"/>
  <c r="G131" i="35"/>
  <c r="J130" i="31"/>
  <c r="D138" i="18"/>
  <c r="G137" i="18"/>
  <c r="G130" i="37"/>
  <c r="D131" i="37"/>
  <c r="B134" i="25"/>
  <c r="D132" i="31"/>
  <c r="G131" i="31"/>
  <c r="I133" i="25"/>
  <c r="J133" i="22"/>
  <c r="J138" i="23"/>
  <c r="J136" i="19"/>
  <c r="G136" i="29"/>
  <c r="D137" i="29"/>
  <c r="B135" i="24"/>
  <c r="I130" i="34"/>
  <c r="I134" i="24"/>
  <c r="B132" i="13"/>
  <c r="F132" i="13"/>
  <c r="B131" i="34"/>
  <c r="B135" i="27"/>
  <c r="H131" i="13"/>
  <c r="I131" i="13"/>
  <c r="I130" i="38"/>
  <c r="B135" i="21"/>
  <c r="B131" i="38"/>
  <c r="E135" i="27"/>
  <c r="F135" i="27" s="1"/>
  <c r="H135" i="27" s="1"/>
  <c r="I134" i="21"/>
  <c r="D138" i="19"/>
  <c r="G137" i="19"/>
  <c r="J137" i="3"/>
  <c r="I134" i="27"/>
  <c r="G138" i="3"/>
  <c r="D139" i="3"/>
  <c r="D140" i="23"/>
  <c r="G139" i="23"/>
  <c r="D135" i="22"/>
  <c r="G134" i="22"/>
  <c r="D132" i="20"/>
  <c r="G131" i="20"/>
  <c r="J130" i="20"/>
  <c r="D144" i="42" l="1"/>
  <c r="E144" i="42" s="1"/>
  <c r="G143" i="42"/>
  <c r="D61" i="42"/>
  <c r="E61" i="42" s="1"/>
  <c r="E138" i="19"/>
  <c r="F138" i="19" s="1"/>
  <c r="H138" i="19" s="1"/>
  <c r="B135" i="26"/>
  <c r="E140" i="23"/>
  <c r="F140" i="23" s="1"/>
  <c r="H140" i="23" s="1"/>
  <c r="E139" i="3"/>
  <c r="F139" i="3" s="1"/>
  <c r="H139" i="3" s="1"/>
  <c r="E135" i="22"/>
  <c r="F135" i="22" s="1"/>
  <c r="H135" i="22" s="1"/>
  <c r="B139" i="4"/>
  <c r="E135" i="26"/>
  <c r="F135" i="26" s="1"/>
  <c r="H135" i="26" s="1"/>
  <c r="E54" i="24"/>
  <c r="F54" i="24" s="1"/>
  <c r="H54" i="24" s="1"/>
  <c r="B54" i="24"/>
  <c r="J134" i="21"/>
  <c r="I134" i="26"/>
  <c r="H56" i="4"/>
  <c r="I56" i="4" s="1"/>
  <c r="I49" i="29"/>
  <c r="H52" i="22"/>
  <c r="I52" i="22" s="1"/>
  <c r="I46" i="38"/>
  <c r="G57" i="3"/>
  <c r="I57" i="3" s="1"/>
  <c r="D56" i="18"/>
  <c r="E56" i="18" s="1"/>
  <c r="G55" i="18"/>
  <c r="D54" i="21"/>
  <c r="E54" i="21" s="1"/>
  <c r="F49" i="31"/>
  <c r="B49" i="31"/>
  <c r="D56" i="19"/>
  <c r="E56" i="19" s="1"/>
  <c r="F49" i="35"/>
  <c r="G49" i="35" s="1"/>
  <c r="B49" i="35"/>
  <c r="B52" i="26"/>
  <c r="F52" i="26"/>
  <c r="H52" i="26" s="1"/>
  <c r="B53" i="28"/>
  <c r="G55" i="19"/>
  <c r="I55" i="19" s="1"/>
  <c r="B53" i="23"/>
  <c r="F53" i="23"/>
  <c r="H53" i="23" s="1"/>
  <c r="B51" i="13"/>
  <c r="F50" i="29"/>
  <c r="B48" i="37"/>
  <c r="F48" i="37"/>
  <c r="G48" i="37" s="1"/>
  <c r="B49" i="34"/>
  <c r="F49" i="34"/>
  <c r="H49" i="34" s="1"/>
  <c r="B51" i="25"/>
  <c r="F51" i="25"/>
  <c r="G51" i="25" s="1"/>
  <c r="E51" i="13"/>
  <c r="F51" i="13" s="1"/>
  <c r="H53" i="21"/>
  <c r="D58" i="3"/>
  <c r="E58" i="3" s="1"/>
  <c r="D57" i="4"/>
  <c r="E57" i="4" s="1"/>
  <c r="H55" i="18"/>
  <c r="G53" i="21"/>
  <c r="F53" i="27"/>
  <c r="H53" i="27" s="1"/>
  <c r="B53" i="27"/>
  <c r="D53" i="22"/>
  <c r="E53" i="22" s="1"/>
  <c r="F47" i="38"/>
  <c r="H47" i="38" s="1"/>
  <c r="B47" i="38"/>
  <c r="E132" i="35"/>
  <c r="F132" i="35" s="1"/>
  <c r="H132" i="35" s="1"/>
  <c r="B132" i="35"/>
  <c r="I138" i="4"/>
  <c r="I137" i="18"/>
  <c r="E138" i="18"/>
  <c r="F138" i="18" s="1"/>
  <c r="H138" i="18" s="1"/>
  <c r="B138" i="18"/>
  <c r="J134" i="27"/>
  <c r="I131" i="35"/>
  <c r="E139" i="4"/>
  <c r="F139" i="4" s="1"/>
  <c r="H139" i="4" s="1"/>
  <c r="I131" i="31"/>
  <c r="E132" i="31"/>
  <c r="F132" i="31" s="1"/>
  <c r="H132" i="31" s="1"/>
  <c r="B132" i="31"/>
  <c r="G134" i="25"/>
  <c r="D135" i="25"/>
  <c r="B136" i="28"/>
  <c r="E131" i="37"/>
  <c r="F131" i="37" s="1"/>
  <c r="H131" i="37" s="1"/>
  <c r="B131" i="37"/>
  <c r="I130" i="37"/>
  <c r="J130" i="38"/>
  <c r="J131" i="13"/>
  <c r="J156" i="13" s="1"/>
  <c r="J134" i="24"/>
  <c r="I136" i="29"/>
  <c r="G131" i="38"/>
  <c r="D132" i="38"/>
  <c r="I137" i="19"/>
  <c r="G135" i="27"/>
  <c r="D136" i="27"/>
  <c r="B138" i="19"/>
  <c r="J130" i="34"/>
  <c r="D132" i="34"/>
  <c r="G131" i="34"/>
  <c r="G135" i="24"/>
  <c r="D136" i="24"/>
  <c r="D136" i="21"/>
  <c r="G135" i="21"/>
  <c r="D133" i="13"/>
  <c r="E133" i="13" s="1"/>
  <c r="G132" i="13"/>
  <c r="E137" i="29"/>
  <c r="F137" i="29" s="1"/>
  <c r="H137" i="29" s="1"/>
  <c r="B139" i="3"/>
  <c r="I138" i="3"/>
  <c r="I134" i="22"/>
  <c r="I131" i="20"/>
  <c r="H131" i="20"/>
  <c r="B132" i="20"/>
  <c r="B135" i="22"/>
  <c r="E132" i="20"/>
  <c r="F132" i="20" s="1"/>
  <c r="I139" i="23"/>
  <c r="F61" i="42" l="1"/>
  <c r="B61" i="42"/>
  <c r="B144" i="42"/>
  <c r="F144" i="42"/>
  <c r="E136" i="24"/>
  <c r="F136" i="24" s="1"/>
  <c r="H136" i="24" s="1"/>
  <c r="E136" i="21"/>
  <c r="F136" i="21" s="1"/>
  <c r="H136" i="21" s="1"/>
  <c r="E136" i="27"/>
  <c r="F136" i="27" s="1"/>
  <c r="H136" i="27" s="1"/>
  <c r="E132" i="34"/>
  <c r="F132" i="34" s="1"/>
  <c r="H132" i="34" s="1"/>
  <c r="G49" i="34"/>
  <c r="I49" i="34" s="1"/>
  <c r="G54" i="24"/>
  <c r="I54" i="24" s="1"/>
  <c r="D55" i="24"/>
  <c r="J134" i="26"/>
  <c r="G135" i="26"/>
  <c r="D136" i="26"/>
  <c r="I55" i="18"/>
  <c r="J137" i="19"/>
  <c r="I53" i="21"/>
  <c r="H49" i="35"/>
  <c r="I49" i="35" s="1"/>
  <c r="G47" i="38"/>
  <c r="I47" i="38" s="1"/>
  <c r="H51" i="25"/>
  <c r="I51" i="25" s="1"/>
  <c r="H48" i="37"/>
  <c r="I48" i="37" s="1"/>
  <c r="G53" i="27"/>
  <c r="I53" i="27" s="1"/>
  <c r="D52" i="13"/>
  <c r="E52" i="13" s="1"/>
  <c r="H51" i="13"/>
  <c r="G51" i="13"/>
  <c r="F53" i="22"/>
  <c r="H53" i="22" s="1"/>
  <c r="B53" i="22"/>
  <c r="B57" i="4"/>
  <c r="F57" i="4"/>
  <c r="D50" i="31"/>
  <c r="E50" i="31" s="1"/>
  <c r="D51" i="29"/>
  <c r="E51" i="29" s="1"/>
  <c r="G49" i="31"/>
  <c r="F58" i="3"/>
  <c r="H58" i="3" s="1"/>
  <c r="B58" i="3"/>
  <c r="D50" i="34"/>
  <c r="E50" i="34"/>
  <c r="H50" i="29"/>
  <c r="D54" i="23"/>
  <c r="E54" i="23" s="1"/>
  <c r="D50" i="35"/>
  <c r="E50" i="35" s="1"/>
  <c r="G50" i="29"/>
  <c r="D53" i="26"/>
  <c r="E53" i="26" s="1"/>
  <c r="B54" i="21"/>
  <c r="F54" i="21"/>
  <c r="G54" i="21" s="1"/>
  <c r="D54" i="27"/>
  <c r="E54" i="27" s="1"/>
  <c r="G53" i="23"/>
  <c r="I53" i="23" s="1"/>
  <c r="G52" i="26"/>
  <c r="I52" i="26" s="1"/>
  <c r="B56" i="19"/>
  <c r="F56" i="19"/>
  <c r="D48" i="38"/>
  <c r="E48" i="38" s="1"/>
  <c r="F56" i="18"/>
  <c r="H56" i="18" s="1"/>
  <c r="B56" i="18"/>
  <c r="J138" i="4"/>
  <c r="D52" i="25"/>
  <c r="E52" i="25" s="1"/>
  <c r="D49" i="37"/>
  <c r="E49" i="37" s="1"/>
  <c r="I53" i="28"/>
  <c r="H49" i="31"/>
  <c r="D139" i="18"/>
  <c r="G138" i="18"/>
  <c r="J137" i="18"/>
  <c r="G139" i="4"/>
  <c r="D140" i="4"/>
  <c r="J130" i="37"/>
  <c r="J131" i="35"/>
  <c r="J156" i="35" s="1"/>
  <c r="G132" i="35"/>
  <c r="D133" i="35"/>
  <c r="G131" i="37"/>
  <c r="D132" i="37"/>
  <c r="B135" i="25"/>
  <c r="E135" i="25"/>
  <c r="F135" i="25" s="1"/>
  <c r="H135" i="25" s="1"/>
  <c r="I134" i="25"/>
  <c r="D133" i="31"/>
  <c r="G132" i="31"/>
  <c r="J135" i="28"/>
  <c r="J131" i="31"/>
  <c r="J134" i="22"/>
  <c r="G137" i="29"/>
  <c r="D138" i="29"/>
  <c r="I131" i="34"/>
  <c r="B132" i="38"/>
  <c r="B132" i="34"/>
  <c r="G138" i="19"/>
  <c r="D139" i="19"/>
  <c r="I131" i="38"/>
  <c r="B133" i="13"/>
  <c r="F133" i="13"/>
  <c r="B136" i="21"/>
  <c r="E132" i="38"/>
  <c r="F132" i="38" s="1"/>
  <c r="H132" i="38" s="1"/>
  <c r="I135" i="24"/>
  <c r="I135" i="21"/>
  <c r="B136" i="27"/>
  <c r="I132" i="13"/>
  <c r="H132" i="13"/>
  <c r="B136" i="24"/>
  <c r="I135" i="27"/>
  <c r="G132" i="20"/>
  <c r="D133" i="20"/>
  <c r="E133" i="20" s="1"/>
  <c r="G139" i="3"/>
  <c r="D140" i="3"/>
  <c r="J139" i="23"/>
  <c r="J131" i="20"/>
  <c r="G135" i="22"/>
  <c r="D136" i="22"/>
  <c r="J138" i="3"/>
  <c r="D141" i="23"/>
  <c r="G140" i="23"/>
  <c r="D145" i="42" l="1"/>
  <c r="E145" i="42" s="1"/>
  <c r="G144" i="42"/>
  <c r="D62" i="42"/>
  <c r="E62" i="42" s="1"/>
  <c r="B136" i="26"/>
  <c r="E141" i="23"/>
  <c r="F141" i="23" s="1"/>
  <c r="H141" i="23" s="1"/>
  <c r="B139" i="18"/>
  <c r="E133" i="31"/>
  <c r="F133" i="31" s="1"/>
  <c r="H133" i="31" s="1"/>
  <c r="E138" i="29"/>
  <c r="F138" i="29" s="1"/>
  <c r="H138" i="29" s="1"/>
  <c r="E136" i="26"/>
  <c r="F136" i="26" s="1"/>
  <c r="H136" i="26" s="1"/>
  <c r="E55" i="24"/>
  <c r="F55" i="24" s="1"/>
  <c r="B55" i="24"/>
  <c r="I135" i="26"/>
  <c r="I49" i="31"/>
  <c r="H54" i="21"/>
  <c r="I54" i="21" s="1"/>
  <c r="E139" i="18"/>
  <c r="F139" i="18" s="1"/>
  <c r="H139" i="18" s="1"/>
  <c r="G56" i="18"/>
  <c r="I56" i="18" s="1"/>
  <c r="B48" i="38"/>
  <c r="F48" i="38"/>
  <c r="B49" i="37"/>
  <c r="F49" i="37"/>
  <c r="D57" i="19"/>
  <c r="E57" i="19" s="1"/>
  <c r="B54" i="27"/>
  <c r="F54" i="27"/>
  <c r="F50" i="31"/>
  <c r="G50" i="31" s="1"/>
  <c r="B50" i="31"/>
  <c r="J131" i="38"/>
  <c r="J156" i="38" s="1"/>
  <c r="G56" i="19"/>
  <c r="B50" i="35"/>
  <c r="F50" i="35"/>
  <c r="G50" i="35" s="1"/>
  <c r="D59" i="3"/>
  <c r="E59" i="3" s="1"/>
  <c r="D54" i="22"/>
  <c r="E54" i="22" s="1"/>
  <c r="F52" i="25"/>
  <c r="H52" i="25" s="1"/>
  <c r="B52" i="25"/>
  <c r="D55" i="21"/>
  <c r="E55" i="21" s="1"/>
  <c r="G58" i="3"/>
  <c r="I58" i="3" s="1"/>
  <c r="D58" i="4"/>
  <c r="E58" i="4" s="1"/>
  <c r="H56" i="19"/>
  <c r="B54" i="23"/>
  <c r="F54" i="23"/>
  <c r="G54" i="23" s="1"/>
  <c r="I50" i="29"/>
  <c r="H57" i="4"/>
  <c r="I51" i="13"/>
  <c r="B54" i="28"/>
  <c r="G57" i="4"/>
  <c r="D57" i="18"/>
  <c r="E57" i="18" s="1"/>
  <c r="F53" i="26"/>
  <c r="H53" i="26" s="1"/>
  <c r="B53" i="26"/>
  <c r="B50" i="34"/>
  <c r="F50" i="34"/>
  <c r="F51" i="29"/>
  <c r="G53" i="22"/>
  <c r="I53" i="22" s="1"/>
  <c r="B52" i="13"/>
  <c r="F52" i="13"/>
  <c r="G52" i="13" s="1"/>
  <c r="B140" i="4"/>
  <c r="E140" i="4"/>
  <c r="F140" i="4" s="1"/>
  <c r="H140" i="4" s="1"/>
  <c r="I139" i="4"/>
  <c r="J135" i="24"/>
  <c r="E133" i="35"/>
  <c r="F133" i="35" s="1"/>
  <c r="H133" i="35" s="1"/>
  <c r="B133" i="35"/>
  <c r="I138" i="18"/>
  <c r="I132" i="35"/>
  <c r="G135" i="25"/>
  <c r="D136" i="25"/>
  <c r="B132" i="37"/>
  <c r="I132" i="31"/>
  <c r="E132" i="37"/>
  <c r="F132" i="37" s="1"/>
  <c r="H132" i="37" s="1"/>
  <c r="I131" i="37"/>
  <c r="B133" i="31"/>
  <c r="B137" i="28"/>
  <c r="J131" i="34"/>
  <c r="J156" i="34" s="1"/>
  <c r="J135" i="27"/>
  <c r="D133" i="38"/>
  <c r="G132" i="38"/>
  <c r="B139" i="19"/>
  <c r="D137" i="27"/>
  <c r="G136" i="27"/>
  <c r="D137" i="21"/>
  <c r="G136" i="21"/>
  <c r="E139" i="19"/>
  <c r="F139" i="19" s="1"/>
  <c r="H139" i="19" s="1"/>
  <c r="I137" i="29"/>
  <c r="I138" i="19"/>
  <c r="G136" i="24"/>
  <c r="D137" i="24"/>
  <c r="G133" i="13"/>
  <c r="D134" i="13"/>
  <c r="E134" i="13" s="1"/>
  <c r="D133" i="34"/>
  <c r="G132" i="34"/>
  <c r="J135" i="21"/>
  <c r="B140" i="3"/>
  <c r="B133" i="20"/>
  <c r="F133" i="20"/>
  <c r="H132" i="20"/>
  <c r="I132" i="20"/>
  <c r="I139" i="3"/>
  <c r="B136" i="22"/>
  <c r="I135" i="22"/>
  <c r="I140" i="23"/>
  <c r="E140" i="3"/>
  <c r="F140" i="3" s="1"/>
  <c r="H140" i="3" s="1"/>
  <c r="E136" i="22"/>
  <c r="F136" i="22" s="1"/>
  <c r="H136" i="22" s="1"/>
  <c r="F62" i="42" l="1"/>
  <c r="B62" i="42"/>
  <c r="B145" i="42"/>
  <c r="F145" i="42"/>
  <c r="E137" i="24"/>
  <c r="F137" i="24" s="1"/>
  <c r="H137" i="24" s="1"/>
  <c r="E137" i="21"/>
  <c r="F137" i="21" s="1"/>
  <c r="H137" i="21" s="1"/>
  <c r="E133" i="38"/>
  <c r="F133" i="38" s="1"/>
  <c r="H133" i="38" s="1"/>
  <c r="H55" i="24"/>
  <c r="D56" i="24"/>
  <c r="G55" i="24"/>
  <c r="J135" i="26"/>
  <c r="D137" i="26"/>
  <c r="G136" i="26"/>
  <c r="G52" i="25"/>
  <c r="I52" i="25" s="1"/>
  <c r="H50" i="31"/>
  <c r="I50" i="31" s="1"/>
  <c r="J132" i="20"/>
  <c r="G53" i="26"/>
  <c r="I53" i="26" s="1"/>
  <c r="H50" i="35"/>
  <c r="I50" i="35" s="1"/>
  <c r="I57" i="4"/>
  <c r="G139" i="18"/>
  <c r="D140" i="18"/>
  <c r="J132" i="31"/>
  <c r="D51" i="34"/>
  <c r="E51" i="34" s="1"/>
  <c r="F58" i="4"/>
  <c r="G58" i="4" s="1"/>
  <c r="B58" i="4"/>
  <c r="D55" i="27"/>
  <c r="E55" i="27" s="1"/>
  <c r="D50" i="37"/>
  <c r="E50" i="37" s="1"/>
  <c r="D53" i="13"/>
  <c r="E53" i="13" s="1"/>
  <c r="B57" i="18"/>
  <c r="F57" i="18"/>
  <c r="H52" i="13"/>
  <c r="I52" i="13" s="1"/>
  <c r="H50" i="34"/>
  <c r="G54" i="27"/>
  <c r="G50" i="34"/>
  <c r="D55" i="23"/>
  <c r="E55" i="23" s="1"/>
  <c r="B55" i="21"/>
  <c r="F55" i="21"/>
  <c r="H55" i="21" s="1"/>
  <c r="F54" i="22"/>
  <c r="H54" i="22" s="1"/>
  <c r="B54" i="22"/>
  <c r="H54" i="27"/>
  <c r="J139" i="4"/>
  <c r="H54" i="23"/>
  <c r="I54" i="23" s="1"/>
  <c r="D49" i="38"/>
  <c r="E49" i="38" s="1"/>
  <c r="D52" i="29"/>
  <c r="E52" i="29" s="1"/>
  <c r="B59" i="3"/>
  <c r="F59" i="3"/>
  <c r="G59" i="3" s="1"/>
  <c r="F57" i="19"/>
  <c r="H57" i="19" s="1"/>
  <c r="B57" i="19"/>
  <c r="H51" i="29"/>
  <c r="I56" i="19"/>
  <c r="H49" i="37"/>
  <c r="G48" i="38"/>
  <c r="G51" i="29"/>
  <c r="D54" i="26"/>
  <c r="E54" i="26" s="1"/>
  <c r="D53" i="25"/>
  <c r="E53" i="25" s="1"/>
  <c r="D51" i="35"/>
  <c r="E51" i="35" s="1"/>
  <c r="D51" i="31"/>
  <c r="E51" i="31" s="1"/>
  <c r="G49" i="37"/>
  <c r="H48" i="38"/>
  <c r="D134" i="35"/>
  <c r="G133" i="35"/>
  <c r="J140" i="23"/>
  <c r="J139" i="3"/>
  <c r="J136" i="28"/>
  <c r="D141" i="4"/>
  <c r="G140" i="4"/>
  <c r="J138" i="18"/>
  <c r="G132" i="37"/>
  <c r="D133" i="37"/>
  <c r="D134" i="31"/>
  <c r="G133" i="31"/>
  <c r="J138" i="19"/>
  <c r="E136" i="25"/>
  <c r="F136" i="25" s="1"/>
  <c r="H136" i="25" s="1"/>
  <c r="B136" i="25"/>
  <c r="J131" i="37"/>
  <c r="J156" i="37" s="1"/>
  <c r="I135" i="25"/>
  <c r="B137" i="24"/>
  <c r="B137" i="27"/>
  <c r="I136" i="27"/>
  <c r="H133" i="13"/>
  <c r="I133" i="13"/>
  <c r="I136" i="24"/>
  <c r="B133" i="34"/>
  <c r="D139" i="29"/>
  <c r="G138" i="29"/>
  <c r="I136" i="21"/>
  <c r="F134" i="13"/>
  <c r="B134" i="13"/>
  <c r="E133" i="34"/>
  <c r="F133" i="34" s="1"/>
  <c r="H133" i="34" s="1"/>
  <c r="B137" i="21"/>
  <c r="I132" i="38"/>
  <c r="G139" i="19"/>
  <c r="D140" i="19"/>
  <c r="I132" i="34"/>
  <c r="E137" i="27"/>
  <c r="F137" i="27" s="1"/>
  <c r="H137" i="27" s="1"/>
  <c r="B133" i="38"/>
  <c r="G140" i="3"/>
  <c r="D141" i="3"/>
  <c r="D142" i="23"/>
  <c r="G141" i="23"/>
  <c r="G136" i="22"/>
  <c r="D137" i="22"/>
  <c r="D134" i="20"/>
  <c r="G133" i="20"/>
  <c r="J135" i="22"/>
  <c r="D146" i="42" l="1"/>
  <c r="E146" i="42" s="1"/>
  <c r="G145" i="42"/>
  <c r="D63" i="42"/>
  <c r="I55" i="24"/>
  <c r="E137" i="22"/>
  <c r="F137" i="22" s="1"/>
  <c r="H137" i="22" s="1"/>
  <c r="E141" i="3"/>
  <c r="F141" i="3" s="1"/>
  <c r="H141" i="3" s="1"/>
  <c r="E142" i="23"/>
  <c r="F142" i="23" s="1"/>
  <c r="H142" i="23" s="1"/>
  <c r="E133" i="37"/>
  <c r="F133" i="37" s="1"/>
  <c r="H133" i="37" s="1"/>
  <c r="E139" i="29"/>
  <c r="F139" i="29" s="1"/>
  <c r="H139" i="29" s="1"/>
  <c r="E56" i="24"/>
  <c r="F56" i="24" s="1"/>
  <c r="G56" i="24" s="1"/>
  <c r="B56" i="24"/>
  <c r="I54" i="28"/>
  <c r="I136" i="26"/>
  <c r="E137" i="26"/>
  <c r="F137" i="26" s="1"/>
  <c r="H137" i="26" s="1"/>
  <c r="B137" i="26"/>
  <c r="I51" i="29"/>
  <c r="I54" i="27"/>
  <c r="B140" i="18"/>
  <c r="E140" i="18"/>
  <c r="F140" i="18" s="1"/>
  <c r="H140" i="18" s="1"/>
  <c r="I139" i="18"/>
  <c r="I48" i="38"/>
  <c r="D58" i="18"/>
  <c r="E58" i="18" s="1"/>
  <c r="B55" i="27"/>
  <c r="F55" i="27"/>
  <c r="G55" i="27" s="1"/>
  <c r="F54" i="26"/>
  <c r="H54" i="26" s="1"/>
  <c r="B54" i="26"/>
  <c r="B49" i="38"/>
  <c r="F49" i="38"/>
  <c r="G49" i="38" s="1"/>
  <c r="D55" i="22"/>
  <c r="E55" i="22" s="1"/>
  <c r="B55" i="28"/>
  <c r="H57" i="18"/>
  <c r="B51" i="31"/>
  <c r="F51" i="31"/>
  <c r="D56" i="21"/>
  <c r="E56" i="21" s="1"/>
  <c r="D59" i="4"/>
  <c r="E59" i="4" s="1"/>
  <c r="I49" i="37"/>
  <c r="D58" i="19"/>
  <c r="E58" i="19" s="1"/>
  <c r="G55" i="21"/>
  <c r="I55" i="21" s="1"/>
  <c r="I50" i="34"/>
  <c r="F53" i="13"/>
  <c r="G53" i="13" s="1"/>
  <c r="B53" i="13"/>
  <c r="H58" i="4"/>
  <c r="I58" i="4" s="1"/>
  <c r="F51" i="35"/>
  <c r="B51" i="35"/>
  <c r="G57" i="19"/>
  <c r="I57" i="19" s="1"/>
  <c r="D60" i="3"/>
  <c r="E60" i="3" s="1"/>
  <c r="G54" i="22"/>
  <c r="I54" i="22" s="1"/>
  <c r="B55" i="23"/>
  <c r="F55" i="23"/>
  <c r="G55" i="23" s="1"/>
  <c r="F50" i="37"/>
  <c r="G50" i="37" s="1"/>
  <c r="B50" i="37"/>
  <c r="F51" i="34"/>
  <c r="G51" i="34" s="1"/>
  <c r="B51" i="34"/>
  <c r="F53" i="25"/>
  <c r="G53" i="25" s="1"/>
  <c r="B53" i="25"/>
  <c r="H59" i="3"/>
  <c r="I59" i="3" s="1"/>
  <c r="F52" i="29"/>
  <c r="H52" i="29" s="1"/>
  <c r="G57" i="18"/>
  <c r="I140" i="4"/>
  <c r="B141" i="4"/>
  <c r="E141" i="4"/>
  <c r="F141" i="4" s="1"/>
  <c r="H141" i="4" s="1"/>
  <c r="I133" i="35"/>
  <c r="J136" i="24"/>
  <c r="E134" i="35"/>
  <c r="F134" i="35" s="1"/>
  <c r="H134" i="35" s="1"/>
  <c r="B134" i="35"/>
  <c r="J136" i="27"/>
  <c r="I133" i="31"/>
  <c r="E134" i="31"/>
  <c r="F134" i="31" s="1"/>
  <c r="H134" i="31" s="1"/>
  <c r="B134" i="31"/>
  <c r="B138" i="28"/>
  <c r="G136" i="25"/>
  <c r="D137" i="25"/>
  <c r="B133" i="37"/>
  <c r="I132" i="37"/>
  <c r="G133" i="34"/>
  <c r="D134" i="34"/>
  <c r="G137" i="27"/>
  <c r="D138" i="27"/>
  <c r="I139" i="19"/>
  <c r="J136" i="21"/>
  <c r="G137" i="24"/>
  <c r="D138" i="24"/>
  <c r="B140" i="19"/>
  <c r="E140" i="19"/>
  <c r="F140" i="19" s="1"/>
  <c r="H140" i="19" s="1"/>
  <c r="D138" i="21"/>
  <c r="G137" i="21"/>
  <c r="I138" i="29"/>
  <c r="G133" i="38"/>
  <c r="D134" i="38"/>
  <c r="D135" i="13"/>
  <c r="E135" i="13" s="1"/>
  <c r="G134" i="13"/>
  <c r="B134" i="20"/>
  <c r="I136" i="22"/>
  <c r="B137" i="22"/>
  <c r="H133" i="20"/>
  <c r="I133" i="20"/>
  <c r="B141" i="3"/>
  <c r="I141" i="23"/>
  <c r="E134" i="20"/>
  <c r="F134" i="20" s="1"/>
  <c r="I140" i="3"/>
  <c r="B63" i="42" l="1"/>
  <c r="E63" i="42"/>
  <c r="F63" i="42" s="1"/>
  <c r="B146" i="42"/>
  <c r="F146" i="42"/>
  <c r="E138" i="24"/>
  <c r="F138" i="24" s="1"/>
  <c r="H138" i="24" s="1"/>
  <c r="E138" i="27"/>
  <c r="F138" i="27" s="1"/>
  <c r="H138" i="27" s="1"/>
  <c r="E138" i="21"/>
  <c r="F138" i="21" s="1"/>
  <c r="H138" i="21" s="1"/>
  <c r="E134" i="34"/>
  <c r="F134" i="34" s="1"/>
  <c r="H134" i="34" s="1"/>
  <c r="H49" i="38"/>
  <c r="I49" i="38" s="1"/>
  <c r="H56" i="24"/>
  <c r="I56" i="24" s="1"/>
  <c r="D57" i="24"/>
  <c r="D138" i="26"/>
  <c r="G137" i="26"/>
  <c r="J136" i="26"/>
  <c r="J140" i="4"/>
  <c r="H53" i="25"/>
  <c r="I53" i="25" s="1"/>
  <c r="H55" i="23"/>
  <c r="I55" i="23" s="1"/>
  <c r="J139" i="18"/>
  <c r="H50" i="37"/>
  <c r="I50" i="37" s="1"/>
  <c r="G54" i="26"/>
  <c r="I54" i="26" s="1"/>
  <c r="D141" i="18"/>
  <c r="G140" i="18"/>
  <c r="D52" i="35"/>
  <c r="E52" i="35" s="1"/>
  <c r="F56" i="21"/>
  <c r="H56" i="21" s="1"/>
  <c r="B56" i="21"/>
  <c r="D52" i="34"/>
  <c r="E52" i="34" s="1"/>
  <c r="H51" i="35"/>
  <c r="I57" i="18"/>
  <c r="D56" i="27"/>
  <c r="E56" i="27" s="1"/>
  <c r="D50" i="38"/>
  <c r="E50" i="38" s="1"/>
  <c r="H55" i="27"/>
  <c r="I55" i="27" s="1"/>
  <c r="F58" i="19"/>
  <c r="B58" i="19"/>
  <c r="D52" i="31"/>
  <c r="E52" i="31" s="1"/>
  <c r="B60" i="3"/>
  <c r="F60" i="3"/>
  <c r="G60" i="3" s="1"/>
  <c r="H51" i="31"/>
  <c r="D54" i="25"/>
  <c r="E54" i="25" s="1"/>
  <c r="D51" i="37"/>
  <c r="E51" i="37" s="1"/>
  <c r="D54" i="13"/>
  <c r="G51" i="31"/>
  <c r="I55" i="28"/>
  <c r="F58" i="18"/>
  <c r="G58" i="18" s="1"/>
  <c r="B58" i="18"/>
  <c r="D53" i="29"/>
  <c r="E53" i="29" s="1"/>
  <c r="H51" i="34"/>
  <c r="I51" i="34" s="1"/>
  <c r="H53" i="13"/>
  <c r="I53" i="13" s="1"/>
  <c r="B59" i="4"/>
  <c r="F59" i="4"/>
  <c r="H59" i="4" s="1"/>
  <c r="J139" i="19"/>
  <c r="G52" i="29"/>
  <c r="I52" i="29" s="1"/>
  <c r="D56" i="23"/>
  <c r="E56" i="23" s="1"/>
  <c r="G51" i="35"/>
  <c r="B55" i="22"/>
  <c r="F55" i="22"/>
  <c r="D55" i="26"/>
  <c r="E55" i="26" s="1"/>
  <c r="G134" i="35"/>
  <c r="D135" i="35"/>
  <c r="D142" i="4"/>
  <c r="G141" i="4"/>
  <c r="J137" i="28"/>
  <c r="J141" i="23"/>
  <c r="D134" i="37"/>
  <c r="G133" i="37"/>
  <c r="G134" i="31"/>
  <c r="D135" i="31"/>
  <c r="E137" i="25"/>
  <c r="F137" i="25" s="1"/>
  <c r="H137" i="25" s="1"/>
  <c r="B137" i="25"/>
  <c r="I136" i="25"/>
  <c r="J133" i="31"/>
  <c r="D141" i="19"/>
  <c r="G140" i="19"/>
  <c r="H134" i="13"/>
  <c r="I134" i="13"/>
  <c r="B138" i="24"/>
  <c r="J136" i="22"/>
  <c r="B135" i="13"/>
  <c r="F135" i="13"/>
  <c r="I137" i="24"/>
  <c r="B138" i="27"/>
  <c r="G139" i="29"/>
  <c r="D140" i="29"/>
  <c r="J133" i="20"/>
  <c r="B134" i="38"/>
  <c r="I137" i="27"/>
  <c r="I133" i="38"/>
  <c r="E134" i="38"/>
  <c r="F134" i="38" s="1"/>
  <c r="H134" i="38" s="1"/>
  <c r="I137" i="21"/>
  <c r="B134" i="34"/>
  <c r="B138" i="21"/>
  <c r="I133" i="34"/>
  <c r="G134" i="20"/>
  <c r="D135" i="20"/>
  <c r="E135" i="20" s="1"/>
  <c r="D143" i="23"/>
  <c r="G142" i="23"/>
  <c r="G141" i="3"/>
  <c r="D142" i="3"/>
  <c r="J140" i="3"/>
  <c r="D138" i="22"/>
  <c r="G137" i="22"/>
  <c r="D64" i="42" l="1"/>
  <c r="E64" i="42" s="1"/>
  <c r="D147" i="42"/>
  <c r="E147" i="42" s="1"/>
  <c r="G146" i="42"/>
  <c r="E141" i="19"/>
  <c r="F141" i="19" s="1"/>
  <c r="H141" i="19" s="1"/>
  <c r="E138" i="22"/>
  <c r="F138" i="22" s="1"/>
  <c r="H138" i="22" s="1"/>
  <c r="E143" i="23"/>
  <c r="F143" i="23" s="1"/>
  <c r="H143" i="23" s="1"/>
  <c r="E140" i="29"/>
  <c r="F140" i="29" s="1"/>
  <c r="H140" i="29" s="1"/>
  <c r="G59" i="4"/>
  <c r="I59" i="4" s="1"/>
  <c r="E57" i="24"/>
  <c r="F57" i="24" s="1"/>
  <c r="B57" i="24"/>
  <c r="I137" i="26"/>
  <c r="E138" i="26"/>
  <c r="F138" i="26" s="1"/>
  <c r="H138" i="26" s="1"/>
  <c r="B138" i="26"/>
  <c r="H58" i="18"/>
  <c r="I58" i="18" s="1"/>
  <c r="G56" i="21"/>
  <c r="I56" i="21" s="1"/>
  <c r="I51" i="31"/>
  <c r="H60" i="3"/>
  <c r="I60" i="3" s="1"/>
  <c r="I140" i="18"/>
  <c r="E141" i="18"/>
  <c r="F141" i="18" s="1"/>
  <c r="H141" i="18" s="1"/>
  <c r="B141" i="18"/>
  <c r="D56" i="22"/>
  <c r="E56" i="22" s="1"/>
  <c r="F53" i="29"/>
  <c r="H53" i="29" s="1"/>
  <c r="B54" i="13"/>
  <c r="D59" i="19"/>
  <c r="E59" i="19" s="1"/>
  <c r="F52" i="34"/>
  <c r="G52" i="34" s="1"/>
  <c r="B52" i="34"/>
  <c r="G55" i="22"/>
  <c r="F51" i="37"/>
  <c r="H51" i="37" s="1"/>
  <c r="B51" i="37"/>
  <c r="H55" i="22"/>
  <c r="D60" i="4"/>
  <c r="E60" i="4" s="1"/>
  <c r="F50" i="38"/>
  <c r="G50" i="38" s="1"/>
  <c r="B50" i="38"/>
  <c r="D59" i="18"/>
  <c r="B54" i="25"/>
  <c r="F54" i="25"/>
  <c r="F52" i="31"/>
  <c r="G52" i="31" s="1"/>
  <c r="B52" i="31"/>
  <c r="F56" i="27"/>
  <c r="G56" i="27" s="1"/>
  <c r="B56" i="27"/>
  <c r="D57" i="21"/>
  <c r="E57" i="21" s="1"/>
  <c r="B56" i="23"/>
  <c r="F56" i="23"/>
  <c r="G56" i="23" s="1"/>
  <c r="B56" i="28"/>
  <c r="G58" i="19"/>
  <c r="I51" i="35"/>
  <c r="F52" i="35"/>
  <c r="G52" i="35" s="1"/>
  <c r="B52" i="35"/>
  <c r="F55" i="26"/>
  <c r="B55" i="26"/>
  <c r="E54" i="13"/>
  <c r="F54" i="13" s="1"/>
  <c r="D61" i="3"/>
  <c r="E61" i="3" s="1"/>
  <c r="H58" i="19"/>
  <c r="I141" i="4"/>
  <c r="B142" i="4"/>
  <c r="E142" i="4"/>
  <c r="F142" i="4" s="1"/>
  <c r="H142" i="4" s="1"/>
  <c r="E135" i="35"/>
  <c r="F135" i="35" s="1"/>
  <c r="H135" i="35" s="1"/>
  <c r="B135" i="35"/>
  <c r="I134" i="35"/>
  <c r="G137" i="25"/>
  <c r="D138" i="25"/>
  <c r="B139" i="28"/>
  <c r="E135" i="31"/>
  <c r="F135" i="31" s="1"/>
  <c r="H135" i="31" s="1"/>
  <c r="B135" i="31"/>
  <c r="I134" i="31"/>
  <c r="I133" i="37"/>
  <c r="E134" i="37"/>
  <c r="F134" i="37" s="1"/>
  <c r="H134" i="37" s="1"/>
  <c r="B134" i="37"/>
  <c r="D135" i="34"/>
  <c r="G134" i="34"/>
  <c r="D139" i="27"/>
  <c r="G138" i="27"/>
  <c r="D136" i="13"/>
  <c r="E136" i="13" s="1"/>
  <c r="G135" i="13"/>
  <c r="G138" i="21"/>
  <c r="D139" i="21"/>
  <c r="G134" i="38"/>
  <c r="D135" i="38"/>
  <c r="I140" i="19"/>
  <c r="J137" i="24"/>
  <c r="D139" i="24"/>
  <c r="G138" i="24"/>
  <c r="I139" i="29"/>
  <c r="J137" i="21"/>
  <c r="J137" i="27"/>
  <c r="B141" i="19"/>
  <c r="B135" i="20"/>
  <c r="F135" i="20"/>
  <c r="I141" i="3"/>
  <c r="I142" i="23"/>
  <c r="H134" i="20"/>
  <c r="I134" i="20"/>
  <c r="B142" i="3"/>
  <c r="E142" i="3"/>
  <c r="F142" i="3" s="1"/>
  <c r="H142" i="3" s="1"/>
  <c r="I137" i="22"/>
  <c r="B138" i="22"/>
  <c r="B64" i="42" l="1"/>
  <c r="F64" i="42"/>
  <c r="B147" i="42"/>
  <c r="F147" i="42"/>
  <c r="E139" i="27"/>
  <c r="F139" i="27" s="1"/>
  <c r="H139" i="27" s="1"/>
  <c r="E139" i="21"/>
  <c r="F139" i="21" s="1"/>
  <c r="H139" i="21" s="1"/>
  <c r="E139" i="24"/>
  <c r="F139" i="24" s="1"/>
  <c r="H139" i="24" s="1"/>
  <c r="E135" i="38"/>
  <c r="F135" i="38" s="1"/>
  <c r="H135" i="38" s="1"/>
  <c r="E135" i="34"/>
  <c r="F135" i="34" s="1"/>
  <c r="H135" i="34" s="1"/>
  <c r="H57" i="24"/>
  <c r="D58" i="24"/>
  <c r="G57" i="24"/>
  <c r="J137" i="26"/>
  <c r="G138" i="26"/>
  <c r="D139" i="26"/>
  <c r="G53" i="29"/>
  <c r="I53" i="29" s="1"/>
  <c r="H50" i="38"/>
  <c r="I50" i="38" s="1"/>
  <c r="J138" i="28"/>
  <c r="J134" i="31"/>
  <c r="H56" i="23"/>
  <c r="I56" i="23" s="1"/>
  <c r="I56" i="28"/>
  <c r="H56" i="27"/>
  <c r="I56" i="27" s="1"/>
  <c r="G141" i="18"/>
  <c r="D142" i="18"/>
  <c r="J140" i="18"/>
  <c r="H52" i="34"/>
  <c r="I52" i="34" s="1"/>
  <c r="H52" i="35"/>
  <c r="I52" i="35" s="1"/>
  <c r="D55" i="13"/>
  <c r="H54" i="13"/>
  <c r="G54" i="13"/>
  <c r="D56" i="26"/>
  <c r="E56" i="26" s="1"/>
  <c r="B59" i="18"/>
  <c r="G55" i="26"/>
  <c r="I58" i="19"/>
  <c r="B57" i="21"/>
  <c r="F57" i="21"/>
  <c r="G57" i="21" s="1"/>
  <c r="D53" i="31"/>
  <c r="E53" i="31" s="1"/>
  <c r="D52" i="37"/>
  <c r="E52" i="37" s="1"/>
  <c r="D55" i="25"/>
  <c r="E55" i="25" s="1"/>
  <c r="G51" i="37"/>
  <c r="I51" i="37" s="1"/>
  <c r="J134" i="20"/>
  <c r="B61" i="3"/>
  <c r="F61" i="3"/>
  <c r="H54" i="25"/>
  <c r="D51" i="38"/>
  <c r="E51" i="38" s="1"/>
  <c r="D53" i="34"/>
  <c r="E53" i="34" s="1"/>
  <c r="D53" i="35"/>
  <c r="E53" i="35" s="1"/>
  <c r="D54" i="29"/>
  <c r="E54" i="29" s="1"/>
  <c r="D57" i="27"/>
  <c r="E57" i="27" s="1"/>
  <c r="G54" i="25"/>
  <c r="F60" i="4"/>
  <c r="H60" i="4" s="1"/>
  <c r="B60" i="4"/>
  <c r="B59" i="19"/>
  <c r="F59" i="19"/>
  <c r="H59" i="19" s="1"/>
  <c r="J137" i="22"/>
  <c r="H55" i="26"/>
  <c r="D57" i="23"/>
  <c r="E57" i="23" s="1"/>
  <c r="H52" i="31"/>
  <c r="I52" i="31" s="1"/>
  <c r="E59" i="18"/>
  <c r="F59" i="18" s="1"/>
  <c r="I55" i="22"/>
  <c r="B56" i="22"/>
  <c r="F56" i="22"/>
  <c r="H56" i="22" s="1"/>
  <c r="D136" i="35"/>
  <c r="G135" i="35"/>
  <c r="D143" i="4"/>
  <c r="G142" i="4"/>
  <c r="J142" i="23"/>
  <c r="J141" i="4"/>
  <c r="D135" i="37"/>
  <c r="G134" i="37"/>
  <c r="D136" i="31"/>
  <c r="G135" i="31"/>
  <c r="E138" i="25"/>
  <c r="F138" i="25" s="1"/>
  <c r="H138" i="25" s="1"/>
  <c r="B138" i="25"/>
  <c r="I137" i="25"/>
  <c r="J140" i="19"/>
  <c r="I134" i="38"/>
  <c r="F136" i="13"/>
  <c r="B136" i="13"/>
  <c r="I134" i="34"/>
  <c r="B135" i="34"/>
  <c r="D142" i="19"/>
  <c r="G141" i="19"/>
  <c r="G140" i="29"/>
  <c r="D141" i="29"/>
  <c r="B139" i="21"/>
  <c r="I138" i="24"/>
  <c r="I138" i="21"/>
  <c r="B139" i="27"/>
  <c r="B139" i="24"/>
  <c r="B135" i="38"/>
  <c r="H135" i="13"/>
  <c r="I135" i="13"/>
  <c r="I138" i="27"/>
  <c r="J141" i="3"/>
  <c r="G142" i="3"/>
  <c r="D143" i="3"/>
  <c r="G135" i="20"/>
  <c r="D136" i="20"/>
  <c r="E136" i="20" s="1"/>
  <c r="G143" i="23"/>
  <c r="D144" i="23"/>
  <c r="G138" i="22"/>
  <c r="D139" i="22"/>
  <c r="D65" i="42" l="1"/>
  <c r="E65" i="42" s="1"/>
  <c r="D148" i="42"/>
  <c r="G147" i="42"/>
  <c r="B139" i="26"/>
  <c r="E142" i="19"/>
  <c r="F142" i="19" s="1"/>
  <c r="H142" i="19" s="1"/>
  <c r="E144" i="23"/>
  <c r="F144" i="23" s="1"/>
  <c r="H144" i="23" s="1"/>
  <c r="E136" i="35"/>
  <c r="F136" i="35" s="1"/>
  <c r="H136" i="35" s="1"/>
  <c r="E141" i="29"/>
  <c r="F141" i="29" s="1"/>
  <c r="H141" i="29" s="1"/>
  <c r="I57" i="24"/>
  <c r="E58" i="24"/>
  <c r="F58" i="24" s="1"/>
  <c r="G58" i="24" s="1"/>
  <c r="B58" i="24"/>
  <c r="E139" i="26"/>
  <c r="F139" i="26" s="1"/>
  <c r="H139" i="26" s="1"/>
  <c r="I138" i="26"/>
  <c r="H57" i="21"/>
  <c r="I57" i="21" s="1"/>
  <c r="G59" i="19"/>
  <c r="I59" i="19" s="1"/>
  <c r="E142" i="18"/>
  <c r="F142" i="18" s="1"/>
  <c r="H142" i="18" s="1"/>
  <c r="B142" i="18"/>
  <c r="I55" i="26"/>
  <c r="I141" i="18"/>
  <c r="D60" i="18"/>
  <c r="E60" i="18" s="1"/>
  <c r="H59" i="18"/>
  <c r="G59" i="18"/>
  <c r="F54" i="29"/>
  <c r="B57" i="28"/>
  <c r="B55" i="25"/>
  <c r="F55" i="25"/>
  <c r="D57" i="22"/>
  <c r="E57" i="22" s="1"/>
  <c r="D62" i="3"/>
  <c r="D61" i="4"/>
  <c r="E61" i="4" s="1"/>
  <c r="G61" i="3"/>
  <c r="B52" i="37"/>
  <c r="F52" i="37"/>
  <c r="H52" i="37" s="1"/>
  <c r="F56" i="26"/>
  <c r="G56" i="26" s="1"/>
  <c r="B56" i="26"/>
  <c r="B53" i="35"/>
  <c r="F53" i="35"/>
  <c r="H53" i="35" s="1"/>
  <c r="H61" i="3"/>
  <c r="D60" i="19"/>
  <c r="E60" i="19" s="1"/>
  <c r="F57" i="27"/>
  <c r="H57" i="27" s="1"/>
  <c r="B57" i="27"/>
  <c r="F51" i="38"/>
  <c r="G51" i="38" s="1"/>
  <c r="B51" i="38"/>
  <c r="F53" i="31"/>
  <c r="G53" i="31" s="1"/>
  <c r="B53" i="31"/>
  <c r="I54" i="13"/>
  <c r="I54" i="25"/>
  <c r="B55" i="13"/>
  <c r="G56" i="22"/>
  <c r="I56" i="22" s="1"/>
  <c r="F57" i="23"/>
  <c r="B57" i="23"/>
  <c r="G60" i="4"/>
  <c r="I60" i="4" s="1"/>
  <c r="F53" i="34"/>
  <c r="G53" i="34" s="1"/>
  <c r="B53" i="34"/>
  <c r="D58" i="21"/>
  <c r="E55" i="13"/>
  <c r="F55" i="13" s="1"/>
  <c r="B143" i="4"/>
  <c r="E143" i="4"/>
  <c r="F143" i="4" s="1"/>
  <c r="H143" i="4" s="1"/>
  <c r="I135" i="35"/>
  <c r="I142" i="4"/>
  <c r="B136" i="35"/>
  <c r="B140" i="28"/>
  <c r="I135" i="31"/>
  <c r="G138" i="25"/>
  <c r="D139" i="25"/>
  <c r="E136" i="31"/>
  <c r="F136" i="31" s="1"/>
  <c r="H136" i="31" s="1"/>
  <c r="B136" i="31"/>
  <c r="J138" i="24"/>
  <c r="I134" i="37"/>
  <c r="E135" i="37"/>
  <c r="F135" i="37" s="1"/>
  <c r="H135" i="37" s="1"/>
  <c r="B135" i="37"/>
  <c r="J138" i="21"/>
  <c r="J138" i="27"/>
  <c r="D136" i="34"/>
  <c r="G135" i="34"/>
  <c r="G135" i="38"/>
  <c r="D136" i="38"/>
  <c r="I140" i="29"/>
  <c r="D137" i="13"/>
  <c r="G136" i="13"/>
  <c r="G139" i="21"/>
  <c r="D140" i="21"/>
  <c r="I141" i="19"/>
  <c r="D140" i="24"/>
  <c r="G139" i="24"/>
  <c r="G139" i="27"/>
  <c r="D140" i="27"/>
  <c r="B142" i="19"/>
  <c r="I142" i="3"/>
  <c r="F136" i="20"/>
  <c r="B136" i="20"/>
  <c r="B139" i="22"/>
  <c r="I135" i="20"/>
  <c r="H135" i="20"/>
  <c r="I143" i="23"/>
  <c r="I138" i="22"/>
  <c r="B143" i="3"/>
  <c r="E139" i="22"/>
  <c r="F139" i="22" s="1"/>
  <c r="H139" i="22" s="1"/>
  <c r="E143" i="3"/>
  <c r="F143" i="3" s="1"/>
  <c r="H143" i="3" s="1"/>
  <c r="B148" i="42" l="1"/>
  <c r="E148" i="42"/>
  <c r="F148" i="42" s="1"/>
  <c r="B65" i="42"/>
  <c r="F65" i="42"/>
  <c r="E140" i="21"/>
  <c r="F140" i="21" s="1"/>
  <c r="H140" i="21" s="1"/>
  <c r="E140" i="27"/>
  <c r="F140" i="27" s="1"/>
  <c r="H140" i="27" s="1"/>
  <c r="E140" i="24"/>
  <c r="F140" i="24" s="1"/>
  <c r="H140" i="24" s="1"/>
  <c r="E139" i="25"/>
  <c r="F139" i="25" s="1"/>
  <c r="H139" i="25" s="1"/>
  <c r="E136" i="38"/>
  <c r="F136" i="38" s="1"/>
  <c r="H136" i="38" s="1"/>
  <c r="E136" i="34"/>
  <c r="F136" i="34" s="1"/>
  <c r="H136" i="34" s="1"/>
  <c r="J138" i="26"/>
  <c r="H58" i="24"/>
  <c r="I58" i="24" s="1"/>
  <c r="D59" i="24"/>
  <c r="G139" i="26"/>
  <c r="D140" i="26"/>
  <c r="J139" i="28"/>
  <c r="G53" i="35"/>
  <c r="I53" i="35" s="1"/>
  <c r="H53" i="31"/>
  <c r="I53" i="31" s="1"/>
  <c r="H51" i="38"/>
  <c r="I51" i="38" s="1"/>
  <c r="I61" i="3"/>
  <c r="J141" i="18"/>
  <c r="H56" i="26"/>
  <c r="I56" i="26" s="1"/>
  <c r="G142" i="18"/>
  <c r="D143" i="18"/>
  <c r="G52" i="37"/>
  <c r="I52" i="37" s="1"/>
  <c r="D56" i="13"/>
  <c r="G55" i="13"/>
  <c r="H55" i="13"/>
  <c r="B58" i="21"/>
  <c r="D58" i="23"/>
  <c r="B62" i="3"/>
  <c r="H57" i="23"/>
  <c r="D54" i="35"/>
  <c r="E54" i="35" s="1"/>
  <c r="I59" i="18"/>
  <c r="D54" i="34"/>
  <c r="E54" i="34" s="1"/>
  <c r="D53" i="37"/>
  <c r="E53" i="37" s="1"/>
  <c r="D58" i="27"/>
  <c r="E58" i="27" s="1"/>
  <c r="F57" i="22"/>
  <c r="B57" i="22"/>
  <c r="B60" i="18"/>
  <c r="F60" i="18"/>
  <c r="H60" i="18" s="1"/>
  <c r="H53" i="34"/>
  <c r="I53" i="34" s="1"/>
  <c r="D54" i="31"/>
  <c r="E54" i="31" s="1"/>
  <c r="G57" i="27"/>
  <c r="I57" i="27" s="1"/>
  <c r="D56" i="25"/>
  <c r="E56" i="25" s="1"/>
  <c r="D55" i="29"/>
  <c r="E55" i="29" s="1"/>
  <c r="H55" i="25"/>
  <c r="G54" i="29"/>
  <c r="F60" i="19"/>
  <c r="H60" i="19" s="1"/>
  <c r="B60" i="19"/>
  <c r="D57" i="26"/>
  <c r="E57" i="26" s="1"/>
  <c r="F61" i="4"/>
  <c r="H61" i="4" s="1"/>
  <c r="B61" i="4"/>
  <c r="G55" i="25"/>
  <c r="H54" i="29"/>
  <c r="E58" i="21"/>
  <c r="F58" i="21" s="1"/>
  <c r="G57" i="23"/>
  <c r="D52" i="38"/>
  <c r="E52" i="38" s="1"/>
  <c r="E62" i="3"/>
  <c r="F62" i="3" s="1"/>
  <c r="D137" i="35"/>
  <c r="G136" i="35"/>
  <c r="J142" i="4"/>
  <c r="J142" i="3"/>
  <c r="G143" i="4"/>
  <c r="D144" i="4"/>
  <c r="G135" i="37"/>
  <c r="D136" i="37"/>
  <c r="J135" i="31"/>
  <c r="J141" i="19"/>
  <c r="G136" i="31"/>
  <c r="D137" i="31"/>
  <c r="B139" i="25"/>
  <c r="I138" i="25"/>
  <c r="B137" i="13"/>
  <c r="B136" i="38"/>
  <c r="E137" i="13"/>
  <c r="F137" i="13" s="1"/>
  <c r="I135" i="38"/>
  <c r="H136" i="13"/>
  <c r="I136" i="13"/>
  <c r="I135" i="34"/>
  <c r="I139" i="27"/>
  <c r="G142" i="19"/>
  <c r="D143" i="19"/>
  <c r="I139" i="24"/>
  <c r="B136" i="34"/>
  <c r="B140" i="24"/>
  <c r="B140" i="21"/>
  <c r="G141" i="29"/>
  <c r="D142" i="29"/>
  <c r="B140" i="27"/>
  <c r="I139" i="21"/>
  <c r="D144" i="3"/>
  <c r="G143" i="3"/>
  <c r="G139" i="22"/>
  <c r="D140" i="22"/>
  <c r="D137" i="20"/>
  <c r="E137" i="20" s="1"/>
  <c r="G136" i="20"/>
  <c r="J135" i="20"/>
  <c r="J138" i="22"/>
  <c r="J143" i="23"/>
  <c r="G144" i="23"/>
  <c r="D145" i="23"/>
  <c r="D149" i="42" l="1"/>
  <c r="E149" i="42" s="1"/>
  <c r="G148" i="42"/>
  <c r="D66" i="42"/>
  <c r="E66" i="42" s="1"/>
  <c r="E143" i="19"/>
  <c r="F143" i="19" s="1"/>
  <c r="H143" i="19" s="1"/>
  <c r="E144" i="3"/>
  <c r="F144" i="3" s="1"/>
  <c r="H144" i="3" s="1"/>
  <c r="E140" i="22"/>
  <c r="F140" i="22" s="1"/>
  <c r="H140" i="22" s="1"/>
  <c r="E145" i="23"/>
  <c r="F145" i="23" s="1"/>
  <c r="H145" i="23" s="1"/>
  <c r="B136" i="37"/>
  <c r="G60" i="18"/>
  <c r="I60" i="18" s="1"/>
  <c r="E59" i="24"/>
  <c r="F59" i="24" s="1"/>
  <c r="B59" i="24"/>
  <c r="E140" i="26"/>
  <c r="F140" i="26" s="1"/>
  <c r="H140" i="26" s="1"/>
  <c r="B140" i="26"/>
  <c r="I139" i="26"/>
  <c r="G61" i="4"/>
  <c r="I61" i="4" s="1"/>
  <c r="I55" i="13"/>
  <c r="I54" i="29"/>
  <c r="I57" i="28"/>
  <c r="G60" i="19"/>
  <c r="I60" i="19" s="1"/>
  <c r="E143" i="18"/>
  <c r="F143" i="18" s="1"/>
  <c r="H143" i="18" s="1"/>
  <c r="B143" i="18"/>
  <c r="I142" i="18"/>
  <c r="I55" i="25"/>
  <c r="D63" i="3"/>
  <c r="E63" i="3" s="1"/>
  <c r="G62" i="3"/>
  <c r="H62" i="3"/>
  <c r="D59" i="21"/>
  <c r="E59" i="21" s="1"/>
  <c r="G58" i="21"/>
  <c r="H58" i="21"/>
  <c r="B54" i="34"/>
  <c r="F54" i="34"/>
  <c r="H54" i="34" s="1"/>
  <c r="B57" i="26"/>
  <c r="F57" i="26"/>
  <c r="D58" i="22"/>
  <c r="E58" i="22" s="1"/>
  <c r="F55" i="29"/>
  <c r="H55" i="29" s="1"/>
  <c r="D61" i="18"/>
  <c r="B58" i="27"/>
  <c r="F58" i="27"/>
  <c r="H58" i="27" s="1"/>
  <c r="F56" i="25"/>
  <c r="H56" i="25" s="1"/>
  <c r="B56" i="25"/>
  <c r="B54" i="35"/>
  <c r="F54" i="35"/>
  <c r="G54" i="35" s="1"/>
  <c r="D61" i="19"/>
  <c r="E61" i="19" s="1"/>
  <c r="I57" i="23"/>
  <c r="B58" i="23"/>
  <c r="G57" i="22"/>
  <c r="F53" i="37"/>
  <c r="G53" i="37" s="1"/>
  <c r="B53" i="37"/>
  <c r="E58" i="23"/>
  <c r="F58" i="23" s="1"/>
  <c r="B56" i="13"/>
  <c r="F52" i="38"/>
  <c r="H52" i="38" s="1"/>
  <c r="B52" i="38"/>
  <c r="D62" i="4"/>
  <c r="E62" i="4" s="1"/>
  <c r="F54" i="31"/>
  <c r="G54" i="31" s="1"/>
  <c r="B54" i="31"/>
  <c r="H57" i="22"/>
  <c r="B58" i="28"/>
  <c r="E56" i="13"/>
  <c r="F56" i="13" s="1"/>
  <c r="I143" i="4"/>
  <c r="I136" i="35"/>
  <c r="E144" i="4"/>
  <c r="F144" i="4" s="1"/>
  <c r="H144" i="4" s="1"/>
  <c r="B144" i="4"/>
  <c r="E136" i="37"/>
  <c r="F136" i="37" s="1"/>
  <c r="H136" i="37" s="1"/>
  <c r="E137" i="35"/>
  <c r="F137" i="35" s="1"/>
  <c r="H137" i="35" s="1"/>
  <c r="B137" i="35"/>
  <c r="E137" i="31"/>
  <c r="F137" i="31" s="1"/>
  <c r="H137" i="31" s="1"/>
  <c r="B137" i="31"/>
  <c r="I136" i="31"/>
  <c r="D140" i="25"/>
  <c r="G139" i="25"/>
  <c r="B141" i="28"/>
  <c r="I135" i="37"/>
  <c r="J139" i="27"/>
  <c r="J139" i="24"/>
  <c r="J139" i="21"/>
  <c r="I141" i="29"/>
  <c r="D138" i="13"/>
  <c r="E138" i="13" s="1"/>
  <c r="G137" i="13"/>
  <c r="G140" i="27"/>
  <c r="D141" i="27"/>
  <c r="D137" i="34"/>
  <c r="G136" i="34"/>
  <c r="I142" i="19"/>
  <c r="G140" i="21"/>
  <c r="D141" i="21"/>
  <c r="E142" i="29"/>
  <c r="F142" i="29" s="1"/>
  <c r="H142" i="29" s="1"/>
  <c r="G140" i="24"/>
  <c r="D141" i="24"/>
  <c r="B143" i="19"/>
  <c r="G136" i="38"/>
  <c r="D137" i="38"/>
  <c r="I136" i="20"/>
  <c r="H136" i="20"/>
  <c r="I139" i="22"/>
  <c r="I144" i="23"/>
  <c r="F137" i="20"/>
  <c r="B137" i="20"/>
  <c r="I143" i="3"/>
  <c r="B140" i="22"/>
  <c r="B144" i="3"/>
  <c r="B66" i="42" l="1"/>
  <c r="F66" i="42"/>
  <c r="B149" i="42"/>
  <c r="F149" i="42"/>
  <c r="E141" i="21"/>
  <c r="F141" i="21" s="1"/>
  <c r="H141" i="21" s="1"/>
  <c r="E141" i="24"/>
  <c r="F141" i="24" s="1"/>
  <c r="H141" i="24" s="1"/>
  <c r="E141" i="27"/>
  <c r="F141" i="27" s="1"/>
  <c r="H141" i="27" s="1"/>
  <c r="E137" i="38"/>
  <c r="F137" i="38" s="1"/>
  <c r="H137" i="38" s="1"/>
  <c r="G54" i="34"/>
  <c r="I54" i="34" s="1"/>
  <c r="D60" i="24"/>
  <c r="E60" i="24" s="1"/>
  <c r="F60" i="24" s="1"/>
  <c r="D61" i="24" s="1"/>
  <c r="H59" i="24"/>
  <c r="G59" i="24"/>
  <c r="D141" i="26"/>
  <c r="G140" i="26"/>
  <c r="J139" i="26"/>
  <c r="J136" i="31"/>
  <c r="J140" i="28"/>
  <c r="H54" i="35"/>
  <c r="I54" i="35" s="1"/>
  <c r="I62" i="3"/>
  <c r="G143" i="18"/>
  <c r="D144" i="18"/>
  <c r="H58" i="23"/>
  <c r="G58" i="23"/>
  <c r="J142" i="18"/>
  <c r="D57" i="13"/>
  <c r="E57" i="13" s="1"/>
  <c r="H56" i="13"/>
  <c r="G56" i="13"/>
  <c r="B61" i="18"/>
  <c r="D58" i="26"/>
  <c r="E58" i="26" s="1"/>
  <c r="I58" i="21"/>
  <c r="D53" i="38"/>
  <c r="E53" i="38" s="1"/>
  <c r="D57" i="25"/>
  <c r="D55" i="31"/>
  <c r="E55" i="31" s="1"/>
  <c r="D54" i="37"/>
  <c r="E54" i="37" s="1"/>
  <c r="F61" i="19"/>
  <c r="G61" i="19" s="1"/>
  <c r="B61" i="19"/>
  <c r="G56" i="25"/>
  <c r="I56" i="25" s="1"/>
  <c r="D56" i="29"/>
  <c r="E56" i="29" s="1"/>
  <c r="H57" i="26"/>
  <c r="H54" i="31"/>
  <c r="I54" i="31" s="1"/>
  <c r="G55" i="29"/>
  <c r="I55" i="29" s="1"/>
  <c r="G57" i="26"/>
  <c r="F59" i="21"/>
  <c r="H59" i="21" s="1"/>
  <c r="B59" i="21"/>
  <c r="D59" i="27"/>
  <c r="E59" i="27" s="1"/>
  <c r="B62" i="4"/>
  <c r="F62" i="4"/>
  <c r="D55" i="35"/>
  <c r="E55" i="35" s="1"/>
  <c r="G58" i="27"/>
  <c r="I58" i="27" s="1"/>
  <c r="I58" i="28"/>
  <c r="D55" i="34"/>
  <c r="E55" i="34" s="1"/>
  <c r="I57" i="22"/>
  <c r="G52" i="38"/>
  <c r="I52" i="38" s="1"/>
  <c r="H53" i="37"/>
  <c r="I53" i="37" s="1"/>
  <c r="D59" i="23"/>
  <c r="E59" i="23" s="1"/>
  <c r="E61" i="18"/>
  <c r="F61" i="18" s="1"/>
  <c r="B58" i="22"/>
  <c r="F58" i="22"/>
  <c r="G58" i="22" s="1"/>
  <c r="B63" i="3"/>
  <c r="F63" i="3"/>
  <c r="G63" i="3" s="1"/>
  <c r="G144" i="4"/>
  <c r="D145" i="4"/>
  <c r="D137" i="37"/>
  <c r="G136" i="37"/>
  <c r="G137" i="35"/>
  <c r="D138" i="35"/>
  <c r="J143" i="4"/>
  <c r="E140" i="25"/>
  <c r="F140" i="25" s="1"/>
  <c r="H140" i="25" s="1"/>
  <c r="B140" i="25"/>
  <c r="G137" i="31"/>
  <c r="D138" i="31"/>
  <c r="I139" i="25"/>
  <c r="G142" i="29"/>
  <c r="D143" i="29"/>
  <c r="B137" i="34"/>
  <c r="H137" i="13"/>
  <c r="I137" i="13"/>
  <c r="I136" i="38"/>
  <c r="B141" i="21"/>
  <c r="B141" i="27"/>
  <c r="F138" i="13"/>
  <c r="B138" i="13"/>
  <c r="I140" i="21"/>
  <c r="I140" i="27"/>
  <c r="B137" i="38"/>
  <c r="G143" i="19"/>
  <c r="D144" i="19"/>
  <c r="J143" i="3"/>
  <c r="J142" i="19"/>
  <c r="B141" i="24"/>
  <c r="E137" i="34"/>
  <c r="F137" i="34" s="1"/>
  <c r="H137" i="34" s="1"/>
  <c r="J144" i="23"/>
  <c r="I140" i="24"/>
  <c r="I136" i="34"/>
  <c r="J139" i="22"/>
  <c r="G140" i="22"/>
  <c r="D141" i="22"/>
  <c r="J136" i="20"/>
  <c r="G137" i="20"/>
  <c r="D138" i="20"/>
  <c r="E138" i="20" s="1"/>
  <c r="G144" i="3"/>
  <c r="D145" i="3"/>
  <c r="G145" i="23"/>
  <c r="D146" i="23"/>
  <c r="D67" i="42" l="1"/>
  <c r="E67" i="42" s="1"/>
  <c r="D150" i="42"/>
  <c r="G149" i="42"/>
  <c r="E144" i="19"/>
  <c r="F144" i="19" s="1"/>
  <c r="H144" i="19" s="1"/>
  <c r="E146" i="23"/>
  <c r="F146" i="23" s="1"/>
  <c r="H146" i="23" s="1"/>
  <c r="E145" i="3"/>
  <c r="F145" i="3" s="1"/>
  <c r="H145" i="3" s="1"/>
  <c r="B144" i="18"/>
  <c r="E141" i="22"/>
  <c r="F141" i="22" s="1"/>
  <c r="H141" i="22" s="1"/>
  <c r="E138" i="35"/>
  <c r="F138" i="35" s="1"/>
  <c r="H138" i="35" s="1"/>
  <c r="E138" i="31"/>
  <c r="F138" i="31" s="1"/>
  <c r="H138" i="31" s="1"/>
  <c r="E143" i="29"/>
  <c r="F143" i="29" s="1"/>
  <c r="H143" i="29" s="1"/>
  <c r="I59" i="24"/>
  <c r="E61" i="24"/>
  <c r="F61" i="24" s="1"/>
  <c r="B61" i="24"/>
  <c r="B60" i="24"/>
  <c r="G60" i="24"/>
  <c r="H60" i="24"/>
  <c r="I140" i="26"/>
  <c r="E141" i="26"/>
  <c r="F141" i="26" s="1"/>
  <c r="H141" i="26" s="1"/>
  <c r="B141" i="26"/>
  <c r="E144" i="18"/>
  <c r="F144" i="18" s="1"/>
  <c r="H144" i="18" s="1"/>
  <c r="G59" i="21"/>
  <c r="I59" i="21" s="1"/>
  <c r="I58" i="23"/>
  <c r="I57" i="26"/>
  <c r="I143" i="18"/>
  <c r="D62" i="18"/>
  <c r="E62" i="18" s="1"/>
  <c r="H61" i="18"/>
  <c r="G61" i="18"/>
  <c r="B55" i="35"/>
  <c r="F55" i="35"/>
  <c r="H55" i="35" s="1"/>
  <c r="B57" i="25"/>
  <c r="D64" i="3"/>
  <c r="E64" i="3" s="1"/>
  <c r="D63" i="4"/>
  <c r="E63" i="4" s="1"/>
  <c r="B59" i="28"/>
  <c r="D62" i="19"/>
  <c r="E62" i="19" s="1"/>
  <c r="B59" i="23"/>
  <c r="F59" i="23"/>
  <c r="F53" i="38"/>
  <c r="G53" i="38" s="1"/>
  <c r="B53" i="38"/>
  <c r="H63" i="3"/>
  <c r="I63" i="3" s="1"/>
  <c r="G62" i="4"/>
  <c r="B54" i="37"/>
  <c r="F54" i="37"/>
  <c r="H54" i="37" s="1"/>
  <c r="H62" i="4"/>
  <c r="D60" i="21"/>
  <c r="E60" i="21" s="1"/>
  <c r="F56" i="29"/>
  <c r="D59" i="22"/>
  <c r="E59" i="22" s="1"/>
  <c r="B55" i="31"/>
  <c r="F55" i="31"/>
  <c r="B58" i="26"/>
  <c r="F58" i="26"/>
  <c r="G58" i="26" s="1"/>
  <c r="I56" i="13"/>
  <c r="B59" i="27"/>
  <c r="F59" i="27"/>
  <c r="H59" i="27" s="1"/>
  <c r="H61" i="19"/>
  <c r="I61" i="19" s="1"/>
  <c r="H58" i="22"/>
  <c r="I58" i="22" s="1"/>
  <c r="B55" i="34"/>
  <c r="F55" i="34"/>
  <c r="H55" i="34" s="1"/>
  <c r="E57" i="25"/>
  <c r="F57" i="25" s="1"/>
  <c r="B57" i="13"/>
  <c r="F57" i="13"/>
  <c r="B138" i="35"/>
  <c r="I136" i="37"/>
  <c r="I137" i="35"/>
  <c r="B137" i="37"/>
  <c r="E137" i="37"/>
  <c r="F137" i="37" s="1"/>
  <c r="H137" i="37" s="1"/>
  <c r="B145" i="4"/>
  <c r="E145" i="4"/>
  <c r="F145" i="4" s="1"/>
  <c r="H145" i="4" s="1"/>
  <c r="I144" i="4"/>
  <c r="B142" i="28"/>
  <c r="B138" i="31"/>
  <c r="I137" i="31"/>
  <c r="D141" i="25"/>
  <c r="G140" i="25"/>
  <c r="J140" i="21"/>
  <c r="D138" i="34"/>
  <c r="G137" i="34"/>
  <c r="G141" i="24"/>
  <c r="D142" i="24"/>
  <c r="I143" i="19"/>
  <c r="B144" i="19"/>
  <c r="D142" i="21"/>
  <c r="G141" i="21"/>
  <c r="D142" i="27"/>
  <c r="G141" i="27"/>
  <c r="D138" i="38"/>
  <c r="G137" i="38"/>
  <c r="J140" i="27"/>
  <c r="J140" i="24"/>
  <c r="G138" i="13"/>
  <c r="D139" i="13"/>
  <c r="I142" i="29"/>
  <c r="I144" i="3"/>
  <c r="I145" i="23"/>
  <c r="H137" i="20"/>
  <c r="I137" i="20"/>
  <c r="F138" i="20"/>
  <c r="B138" i="20"/>
  <c r="I140" i="22"/>
  <c r="B145" i="3"/>
  <c r="B141" i="22"/>
  <c r="B150" i="42" l="1"/>
  <c r="E150" i="42"/>
  <c r="F150" i="42" s="1"/>
  <c r="F67" i="42"/>
  <c r="B67" i="42"/>
  <c r="E142" i="27"/>
  <c r="F142" i="27" s="1"/>
  <c r="H142" i="27" s="1"/>
  <c r="E142" i="24"/>
  <c r="F142" i="24" s="1"/>
  <c r="H142" i="24" s="1"/>
  <c r="E138" i="38"/>
  <c r="F138" i="38" s="1"/>
  <c r="H138" i="38" s="1"/>
  <c r="E138" i="34"/>
  <c r="F138" i="34" s="1"/>
  <c r="H138" i="34" s="1"/>
  <c r="I60" i="24"/>
  <c r="G61" i="24"/>
  <c r="D62" i="24"/>
  <c r="H61" i="24"/>
  <c r="J143" i="18"/>
  <c r="J140" i="26"/>
  <c r="J137" i="20"/>
  <c r="D142" i="26"/>
  <c r="G141" i="26"/>
  <c r="I62" i="4"/>
  <c r="G55" i="34"/>
  <c r="I55" i="34" s="1"/>
  <c r="H53" i="38"/>
  <c r="I53" i="38" s="1"/>
  <c r="J143" i="19"/>
  <c r="G144" i="18"/>
  <c r="D145" i="18"/>
  <c r="G59" i="27"/>
  <c r="I59" i="27" s="1"/>
  <c r="I59" i="28"/>
  <c r="J144" i="4"/>
  <c r="D58" i="25"/>
  <c r="E58" i="25" s="1"/>
  <c r="G57" i="25"/>
  <c r="H57" i="25"/>
  <c r="D56" i="31"/>
  <c r="E56" i="31" s="1"/>
  <c r="D57" i="29"/>
  <c r="E57" i="29" s="1"/>
  <c r="D60" i="23"/>
  <c r="E60" i="23" s="1"/>
  <c r="F63" i="4"/>
  <c r="H63" i="4" s="1"/>
  <c r="B63" i="4"/>
  <c r="D56" i="35"/>
  <c r="E56" i="35" s="1"/>
  <c r="D58" i="13"/>
  <c r="E58" i="13" s="1"/>
  <c r="D59" i="26"/>
  <c r="E59" i="26" s="1"/>
  <c r="F60" i="21"/>
  <c r="G60" i="21" s="1"/>
  <c r="B60" i="21"/>
  <c r="B62" i="19"/>
  <c r="F62" i="19"/>
  <c r="H62" i="19" s="1"/>
  <c r="B64" i="3"/>
  <c r="F64" i="3"/>
  <c r="H64" i="3" s="1"/>
  <c r="G55" i="35"/>
  <c r="I55" i="35" s="1"/>
  <c r="G57" i="13"/>
  <c r="H58" i="26"/>
  <c r="I58" i="26" s="1"/>
  <c r="H57" i="13"/>
  <c r="F59" i="22"/>
  <c r="G59" i="22" s="1"/>
  <c r="B59" i="22"/>
  <c r="D55" i="37"/>
  <c r="E55" i="37" s="1"/>
  <c r="D54" i="38"/>
  <c r="E54" i="38" s="1"/>
  <c r="I61" i="18"/>
  <c r="H55" i="31"/>
  <c r="H56" i="29"/>
  <c r="G59" i="23"/>
  <c r="J144" i="3"/>
  <c r="D56" i="34"/>
  <c r="E56" i="34" s="1"/>
  <c r="D60" i="27"/>
  <c r="E60" i="27" s="1"/>
  <c r="G55" i="31"/>
  <c r="G56" i="29"/>
  <c r="G54" i="37"/>
  <c r="I54" i="37" s="1"/>
  <c r="H59" i="23"/>
  <c r="F62" i="18"/>
  <c r="H62" i="18" s="1"/>
  <c r="B62" i="18"/>
  <c r="G137" i="37"/>
  <c r="D138" i="37"/>
  <c r="J145" i="23"/>
  <c r="J141" i="28"/>
  <c r="J137" i="31"/>
  <c r="D139" i="35"/>
  <c r="G138" i="35"/>
  <c r="G145" i="4"/>
  <c r="D146" i="4"/>
  <c r="G138" i="31"/>
  <c r="D139" i="31"/>
  <c r="I140" i="25"/>
  <c r="E141" i="25"/>
  <c r="F141" i="25" s="1"/>
  <c r="H141" i="25" s="1"/>
  <c r="B141" i="25"/>
  <c r="D144" i="29"/>
  <c r="G143" i="29"/>
  <c r="B138" i="38"/>
  <c r="I137" i="38"/>
  <c r="D145" i="19"/>
  <c r="G144" i="19"/>
  <c r="B142" i="24"/>
  <c r="B142" i="21"/>
  <c r="B139" i="13"/>
  <c r="I141" i="24"/>
  <c r="E139" i="13"/>
  <c r="F139" i="13" s="1"/>
  <c r="I141" i="27"/>
  <c r="E142" i="21"/>
  <c r="F142" i="21" s="1"/>
  <c r="H142" i="21" s="1"/>
  <c r="I137" i="34"/>
  <c r="I138" i="13"/>
  <c r="H138" i="13"/>
  <c r="B142" i="27"/>
  <c r="I141" i="21"/>
  <c r="B138" i="34"/>
  <c r="D142" i="22"/>
  <c r="G141" i="22"/>
  <c r="G145" i="3"/>
  <c r="D146" i="3"/>
  <c r="D139" i="20"/>
  <c r="E139" i="20" s="1"/>
  <c r="G138" i="20"/>
  <c r="G146" i="23"/>
  <c r="D147" i="23"/>
  <c r="J140" i="22"/>
  <c r="D151" i="42" l="1"/>
  <c r="E151" i="42" s="1"/>
  <c r="G150" i="42"/>
  <c r="D68" i="42"/>
  <c r="E68" i="42" s="1"/>
  <c r="E145" i="19"/>
  <c r="F145" i="19" s="1"/>
  <c r="H145" i="19" s="1"/>
  <c r="E146" i="3"/>
  <c r="F146" i="3" s="1"/>
  <c r="H146" i="3" s="1"/>
  <c r="B138" i="37"/>
  <c r="E144" i="29"/>
  <c r="F144" i="29" s="1"/>
  <c r="H144" i="29" s="1"/>
  <c r="I61" i="24"/>
  <c r="E62" i="24"/>
  <c r="F62" i="24" s="1"/>
  <c r="G62" i="24" s="1"/>
  <c r="B62" i="24"/>
  <c r="H59" i="22"/>
  <c r="I59" i="22" s="1"/>
  <c r="I141" i="26"/>
  <c r="E142" i="26"/>
  <c r="F142" i="26" s="1"/>
  <c r="H142" i="26" s="1"/>
  <c r="B142" i="26"/>
  <c r="I59" i="23"/>
  <c r="J141" i="27"/>
  <c r="E145" i="18"/>
  <c r="F145" i="18" s="1"/>
  <c r="H145" i="18" s="1"/>
  <c r="B145" i="18"/>
  <c r="I144" i="18"/>
  <c r="G62" i="18"/>
  <c r="I62" i="18" s="1"/>
  <c r="G64" i="3"/>
  <c r="I64" i="3" s="1"/>
  <c r="G62" i="19"/>
  <c r="I62" i="19" s="1"/>
  <c r="I57" i="25"/>
  <c r="G63" i="4"/>
  <c r="I63" i="4" s="1"/>
  <c r="I55" i="31"/>
  <c r="B56" i="35"/>
  <c r="F56" i="35"/>
  <c r="G56" i="35" s="1"/>
  <c r="J141" i="21"/>
  <c r="D61" i="21"/>
  <c r="E61" i="21" s="1"/>
  <c r="F57" i="29"/>
  <c r="G57" i="29" s="1"/>
  <c r="D63" i="18"/>
  <c r="E63" i="18" s="1"/>
  <c r="B60" i="27"/>
  <c r="F60" i="27"/>
  <c r="G60" i="27" s="1"/>
  <c r="D60" i="22"/>
  <c r="E60" i="22" s="1"/>
  <c r="B59" i="26"/>
  <c r="F59" i="26"/>
  <c r="H59" i="26" s="1"/>
  <c r="B56" i="31"/>
  <c r="F56" i="31"/>
  <c r="B60" i="28"/>
  <c r="B56" i="34"/>
  <c r="F56" i="34"/>
  <c r="I57" i="13"/>
  <c r="D65" i="3"/>
  <c r="E65" i="3" s="1"/>
  <c r="D64" i="4"/>
  <c r="E64" i="4" s="1"/>
  <c r="B54" i="38"/>
  <c r="F54" i="38"/>
  <c r="H54" i="38" s="1"/>
  <c r="B58" i="13"/>
  <c r="F58" i="13"/>
  <c r="I56" i="29"/>
  <c r="B55" i="37"/>
  <c r="F55" i="37"/>
  <c r="H55" i="37" s="1"/>
  <c r="D63" i="19"/>
  <c r="E63" i="19" s="1"/>
  <c r="H60" i="21"/>
  <c r="I60" i="21" s="1"/>
  <c r="F60" i="23"/>
  <c r="H60" i="23" s="1"/>
  <c r="B60" i="23"/>
  <c r="B58" i="25"/>
  <c r="F58" i="25"/>
  <c r="H58" i="25" s="1"/>
  <c r="I138" i="35"/>
  <c r="E139" i="35"/>
  <c r="F139" i="35" s="1"/>
  <c r="H139" i="35" s="1"/>
  <c r="B139" i="35"/>
  <c r="E138" i="37"/>
  <c r="F138" i="37" s="1"/>
  <c r="H138" i="37" s="1"/>
  <c r="E146" i="4"/>
  <c r="F146" i="4" s="1"/>
  <c r="H146" i="4" s="1"/>
  <c r="B146" i="4"/>
  <c r="I145" i="4"/>
  <c r="I137" i="37"/>
  <c r="G141" i="25"/>
  <c r="D142" i="25"/>
  <c r="B143" i="28"/>
  <c r="E139" i="31"/>
  <c r="F139" i="31" s="1"/>
  <c r="H139" i="31" s="1"/>
  <c r="B139" i="31"/>
  <c r="I138" i="31"/>
  <c r="D140" i="13"/>
  <c r="E140" i="13" s="1"/>
  <c r="G139" i="13"/>
  <c r="G142" i="21"/>
  <c r="D143" i="21"/>
  <c r="B145" i="19"/>
  <c r="G142" i="27"/>
  <c r="D143" i="27"/>
  <c r="G142" i="24"/>
  <c r="D143" i="24"/>
  <c r="G138" i="38"/>
  <c r="D139" i="38"/>
  <c r="D139" i="34"/>
  <c r="G138" i="34"/>
  <c r="J141" i="24"/>
  <c r="I143" i="29"/>
  <c r="I144" i="19"/>
  <c r="I145" i="3"/>
  <c r="B146" i="3"/>
  <c r="E147" i="23"/>
  <c r="F147" i="23" s="1"/>
  <c r="H147" i="23" s="1"/>
  <c r="I141" i="22"/>
  <c r="I146" i="23"/>
  <c r="B142" i="22"/>
  <c r="F139" i="20"/>
  <c r="B139" i="20"/>
  <c r="I138" i="20"/>
  <c r="H138" i="20"/>
  <c r="E142" i="22"/>
  <c r="F142" i="22" s="1"/>
  <c r="H142" i="22" s="1"/>
  <c r="B68" i="42" l="1"/>
  <c r="F68" i="42"/>
  <c r="B151" i="42"/>
  <c r="F151" i="42"/>
  <c r="E143" i="21"/>
  <c r="F143" i="21" s="1"/>
  <c r="H143" i="21" s="1"/>
  <c r="E143" i="24"/>
  <c r="F143" i="24" s="1"/>
  <c r="H143" i="24" s="1"/>
  <c r="E143" i="27"/>
  <c r="F143" i="27" s="1"/>
  <c r="H143" i="27" s="1"/>
  <c r="E139" i="38"/>
  <c r="F139" i="38" s="1"/>
  <c r="H139" i="38" s="1"/>
  <c r="E139" i="34"/>
  <c r="F139" i="34" s="1"/>
  <c r="H139" i="34" s="1"/>
  <c r="H62" i="24"/>
  <c r="I62" i="24" s="1"/>
  <c r="D63" i="24"/>
  <c r="D143" i="26"/>
  <c r="G142" i="26"/>
  <c r="G59" i="26"/>
  <c r="I59" i="26" s="1"/>
  <c r="J141" i="26"/>
  <c r="J144" i="18"/>
  <c r="D146" i="18"/>
  <c r="G145" i="18"/>
  <c r="H56" i="35"/>
  <c r="I56" i="35" s="1"/>
  <c r="G55" i="37"/>
  <c r="I55" i="37" s="1"/>
  <c r="G58" i="25"/>
  <c r="I58" i="25" s="1"/>
  <c r="I60" i="28"/>
  <c r="G60" i="23"/>
  <c r="I60" i="23" s="1"/>
  <c r="B65" i="3"/>
  <c r="F65" i="3"/>
  <c r="D61" i="27"/>
  <c r="E61" i="27" s="1"/>
  <c r="B61" i="21"/>
  <c r="F61" i="21"/>
  <c r="D55" i="38"/>
  <c r="E55" i="38" s="1"/>
  <c r="D60" i="26"/>
  <c r="E60" i="26" s="1"/>
  <c r="D61" i="23"/>
  <c r="E61" i="23" s="1"/>
  <c r="D57" i="34"/>
  <c r="E57" i="34" s="1"/>
  <c r="D57" i="31"/>
  <c r="E57" i="31" s="1"/>
  <c r="D59" i="13"/>
  <c r="E59" i="13" s="1"/>
  <c r="H56" i="31"/>
  <c r="B63" i="18"/>
  <c r="F63" i="18"/>
  <c r="H63" i="18" s="1"/>
  <c r="G54" i="38"/>
  <c r="I54" i="38" s="1"/>
  <c r="G56" i="34"/>
  <c r="B60" i="22"/>
  <c r="F60" i="22"/>
  <c r="G60" i="22" s="1"/>
  <c r="D57" i="35"/>
  <c r="E57" i="35" s="1"/>
  <c r="D59" i="25"/>
  <c r="E59" i="25" s="1"/>
  <c r="B63" i="19"/>
  <c r="F63" i="19"/>
  <c r="G63" i="19" s="1"/>
  <c r="G58" i="13"/>
  <c r="H56" i="34"/>
  <c r="G56" i="31"/>
  <c r="D58" i="29"/>
  <c r="E58" i="29" s="1"/>
  <c r="D56" i="37"/>
  <c r="E56" i="37" s="1"/>
  <c r="H58" i="13"/>
  <c r="F64" i="4"/>
  <c r="H64" i="4" s="1"/>
  <c r="B64" i="4"/>
  <c r="H60" i="27"/>
  <c r="I60" i="27" s="1"/>
  <c r="H57" i="29"/>
  <c r="I57" i="29" s="1"/>
  <c r="D140" i="35"/>
  <c r="G139" i="35"/>
  <c r="J138" i="31"/>
  <c r="D147" i="4"/>
  <c r="G146" i="4"/>
  <c r="G138" i="37"/>
  <c r="D139" i="37"/>
  <c r="J145" i="4"/>
  <c r="G139" i="31"/>
  <c r="D140" i="31"/>
  <c r="J142" i="28"/>
  <c r="E142" i="25"/>
  <c r="F142" i="25" s="1"/>
  <c r="H142" i="25" s="1"/>
  <c r="B142" i="25"/>
  <c r="J141" i="22"/>
  <c r="I141" i="25"/>
  <c r="J146" i="23"/>
  <c r="J138" i="20"/>
  <c r="B139" i="38"/>
  <c r="G144" i="29"/>
  <c r="D145" i="29"/>
  <c r="B143" i="21"/>
  <c r="I138" i="38"/>
  <c r="B143" i="27"/>
  <c r="I142" i="21"/>
  <c r="I142" i="27"/>
  <c r="H139" i="13"/>
  <c r="I139" i="13"/>
  <c r="I138" i="34"/>
  <c r="B143" i="24"/>
  <c r="G145" i="19"/>
  <c r="D146" i="19"/>
  <c r="J144" i="19"/>
  <c r="B139" i="34"/>
  <c r="I142" i="24"/>
  <c r="F140" i="13"/>
  <c r="B140" i="13"/>
  <c r="D148" i="23"/>
  <c r="G147" i="23"/>
  <c r="D143" i="22"/>
  <c r="G142" i="22"/>
  <c r="G146" i="3"/>
  <c r="D147" i="3"/>
  <c r="D140" i="20"/>
  <c r="E140" i="20" s="1"/>
  <c r="G139" i="20"/>
  <c r="J145" i="3"/>
  <c r="D69" i="42" l="1"/>
  <c r="E69" i="42" s="1"/>
  <c r="D152" i="42"/>
  <c r="G151" i="42"/>
  <c r="E143" i="22"/>
  <c r="F143" i="22" s="1"/>
  <c r="H143" i="22" s="1"/>
  <c r="E148" i="23"/>
  <c r="F148" i="23" s="1"/>
  <c r="H148" i="23" s="1"/>
  <c r="E139" i="37"/>
  <c r="F139" i="37" s="1"/>
  <c r="H139" i="37" s="1"/>
  <c r="E145" i="29"/>
  <c r="F145" i="29" s="1"/>
  <c r="H145" i="29" s="1"/>
  <c r="E63" i="24"/>
  <c r="F63" i="24" s="1"/>
  <c r="G63" i="24" s="1"/>
  <c r="B63" i="24"/>
  <c r="G64" i="4"/>
  <c r="I64" i="4" s="1"/>
  <c r="I142" i="26"/>
  <c r="E143" i="26"/>
  <c r="F143" i="26" s="1"/>
  <c r="H143" i="26" s="1"/>
  <c r="B143" i="26"/>
  <c r="J142" i="27"/>
  <c r="I145" i="18"/>
  <c r="E146" i="18"/>
  <c r="F146" i="18" s="1"/>
  <c r="H146" i="18" s="1"/>
  <c r="B146" i="18"/>
  <c r="H63" i="19"/>
  <c r="I63" i="19" s="1"/>
  <c r="H60" i="22"/>
  <c r="I60" i="22" s="1"/>
  <c r="I56" i="31"/>
  <c r="D66" i="3"/>
  <c r="E66" i="3" s="1"/>
  <c r="F58" i="29"/>
  <c r="G58" i="29" s="1"/>
  <c r="F61" i="23"/>
  <c r="B61" i="23"/>
  <c r="D62" i="21"/>
  <c r="E62" i="21" s="1"/>
  <c r="G65" i="3"/>
  <c r="F59" i="25"/>
  <c r="H59" i="25" s="1"/>
  <c r="B59" i="25"/>
  <c r="B59" i="13"/>
  <c r="F59" i="13"/>
  <c r="H59" i="13" s="1"/>
  <c r="H61" i="21"/>
  <c r="I56" i="34"/>
  <c r="B60" i="26"/>
  <c r="F60" i="26"/>
  <c r="H60" i="26" s="1"/>
  <c r="G61" i="21"/>
  <c r="D65" i="4"/>
  <c r="E65" i="4" s="1"/>
  <c r="B57" i="35"/>
  <c r="F57" i="35"/>
  <c r="F57" i="31"/>
  <c r="H57" i="31" s="1"/>
  <c r="B57" i="31"/>
  <c r="I58" i="13"/>
  <c r="D64" i="18"/>
  <c r="E64" i="18" s="1"/>
  <c r="B61" i="28"/>
  <c r="B57" i="34"/>
  <c r="F57" i="34"/>
  <c r="F61" i="27"/>
  <c r="B61" i="27"/>
  <c r="F56" i="37"/>
  <c r="G56" i="37" s="1"/>
  <c r="B56" i="37"/>
  <c r="D64" i="19"/>
  <c r="E64" i="19" s="1"/>
  <c r="D61" i="22"/>
  <c r="E61" i="22" s="1"/>
  <c r="G63" i="18"/>
  <c r="I63" i="18" s="1"/>
  <c r="F55" i="38"/>
  <c r="H55" i="38" s="1"/>
  <c r="B55" i="38"/>
  <c r="H65" i="3"/>
  <c r="B139" i="37"/>
  <c r="I138" i="37"/>
  <c r="I146" i="4"/>
  <c r="B147" i="4"/>
  <c r="E147" i="4"/>
  <c r="F147" i="4" s="1"/>
  <c r="H147" i="4" s="1"/>
  <c r="I139" i="35"/>
  <c r="E140" i="35"/>
  <c r="F140" i="35" s="1"/>
  <c r="H140" i="35" s="1"/>
  <c r="B140" i="35"/>
  <c r="G142" i="25"/>
  <c r="D143" i="25"/>
  <c r="B144" i="28"/>
  <c r="B140" i="31"/>
  <c r="I139" i="31"/>
  <c r="E140" i="31"/>
  <c r="F140" i="31" s="1"/>
  <c r="H140" i="31" s="1"/>
  <c r="B146" i="19"/>
  <c r="I145" i="19"/>
  <c r="J142" i="21"/>
  <c r="D140" i="38"/>
  <c r="G139" i="38"/>
  <c r="G143" i="24"/>
  <c r="D144" i="24"/>
  <c r="G143" i="27"/>
  <c r="D144" i="27"/>
  <c r="I144" i="29"/>
  <c r="J142" i="24"/>
  <c r="G143" i="21"/>
  <c r="D144" i="21"/>
  <c r="D141" i="13"/>
  <c r="E141" i="13" s="1"/>
  <c r="G140" i="13"/>
  <c r="D140" i="34"/>
  <c r="G139" i="34"/>
  <c r="E146" i="19"/>
  <c r="F146" i="19" s="1"/>
  <c r="H146" i="19" s="1"/>
  <c r="I142" i="22"/>
  <c r="B147" i="3"/>
  <c r="I146" i="3"/>
  <c r="H139" i="20"/>
  <c r="I139" i="20"/>
  <c r="B143" i="22"/>
  <c r="I147" i="23"/>
  <c r="E147" i="3"/>
  <c r="F147" i="3" s="1"/>
  <c r="H147" i="3" s="1"/>
  <c r="B140" i="20"/>
  <c r="F140" i="20"/>
  <c r="B152" i="42" l="1"/>
  <c r="E152" i="42"/>
  <c r="F152" i="42" s="1"/>
  <c r="B69" i="42"/>
  <c r="F69" i="42"/>
  <c r="E144" i="27"/>
  <c r="F144" i="27" s="1"/>
  <c r="H144" i="27" s="1"/>
  <c r="E144" i="21"/>
  <c r="F144" i="21" s="1"/>
  <c r="H144" i="21" s="1"/>
  <c r="E144" i="24"/>
  <c r="F144" i="24" s="1"/>
  <c r="H144" i="24" s="1"/>
  <c r="E140" i="38"/>
  <c r="F140" i="38" s="1"/>
  <c r="H140" i="38" s="1"/>
  <c r="I65" i="3"/>
  <c r="H63" i="24"/>
  <c r="I63" i="24" s="1"/>
  <c r="D64" i="24"/>
  <c r="J142" i="26"/>
  <c r="D144" i="26"/>
  <c r="G143" i="26"/>
  <c r="J145" i="18"/>
  <c r="D147" i="18"/>
  <c r="G146" i="18"/>
  <c r="J146" i="3"/>
  <c r="G57" i="31"/>
  <c r="I57" i="31" s="1"/>
  <c r="H56" i="37"/>
  <c r="I56" i="37" s="1"/>
  <c r="I61" i="28"/>
  <c r="G59" i="25"/>
  <c r="I59" i="25" s="1"/>
  <c r="H58" i="29"/>
  <c r="I58" i="29" s="1"/>
  <c r="I61" i="21"/>
  <c r="D62" i="27"/>
  <c r="E62" i="27" s="1"/>
  <c r="D58" i="35"/>
  <c r="E58" i="35" s="1"/>
  <c r="F64" i="19"/>
  <c r="H64" i="19" s="1"/>
  <c r="B64" i="19"/>
  <c r="G61" i="27"/>
  <c r="D62" i="23"/>
  <c r="J139" i="31"/>
  <c r="D56" i="38"/>
  <c r="E56" i="38" s="1"/>
  <c r="D58" i="34"/>
  <c r="E58" i="34" s="1"/>
  <c r="D60" i="25"/>
  <c r="E60" i="25" s="1"/>
  <c r="B65" i="4"/>
  <c r="F65" i="4"/>
  <c r="G65" i="4" s="1"/>
  <c r="G55" i="38"/>
  <c r="I55" i="38" s="1"/>
  <c r="H57" i="34"/>
  <c r="D58" i="31"/>
  <c r="E58" i="31" s="1"/>
  <c r="D60" i="13"/>
  <c r="E60" i="13" s="1"/>
  <c r="D59" i="29"/>
  <c r="E59" i="29" s="1"/>
  <c r="D57" i="37"/>
  <c r="G57" i="34"/>
  <c r="F64" i="18"/>
  <c r="H64" i="18" s="1"/>
  <c r="B64" i="18"/>
  <c r="D61" i="26"/>
  <c r="E61" i="26" s="1"/>
  <c r="B62" i="21"/>
  <c r="F62" i="21"/>
  <c r="G62" i="21" s="1"/>
  <c r="H61" i="27"/>
  <c r="H57" i="35"/>
  <c r="G59" i="13"/>
  <c r="I59" i="13" s="1"/>
  <c r="H61" i="23"/>
  <c r="F66" i="3"/>
  <c r="G66" i="3" s="1"/>
  <c r="B66" i="3"/>
  <c r="B61" i="22"/>
  <c r="F61" i="22"/>
  <c r="H61" i="22" s="1"/>
  <c r="G57" i="35"/>
  <c r="G60" i="26"/>
  <c r="I60" i="26" s="1"/>
  <c r="G61" i="23"/>
  <c r="D148" i="4"/>
  <c r="G147" i="4"/>
  <c r="J146" i="4"/>
  <c r="D141" i="35"/>
  <c r="G140" i="35"/>
  <c r="D140" i="37"/>
  <c r="G139" i="37"/>
  <c r="J143" i="28"/>
  <c r="D141" i="31"/>
  <c r="G140" i="31"/>
  <c r="E143" i="25"/>
  <c r="F143" i="25" s="1"/>
  <c r="H143" i="25" s="1"/>
  <c r="B143" i="25"/>
  <c r="J139" i="20"/>
  <c r="J145" i="19"/>
  <c r="I142" i="25"/>
  <c r="G146" i="19"/>
  <c r="D147" i="19"/>
  <c r="B140" i="34"/>
  <c r="G145" i="29"/>
  <c r="D146" i="29"/>
  <c r="B144" i="21"/>
  <c r="I143" i="21"/>
  <c r="B144" i="24"/>
  <c r="I139" i="34"/>
  <c r="I143" i="24"/>
  <c r="I140" i="13"/>
  <c r="H140" i="13"/>
  <c r="B144" i="27"/>
  <c r="B140" i="38"/>
  <c r="E140" i="34"/>
  <c r="F140" i="34" s="1"/>
  <c r="H140" i="34" s="1"/>
  <c r="B141" i="13"/>
  <c r="F141" i="13"/>
  <c r="I143" i="27"/>
  <c r="I139" i="38"/>
  <c r="G148" i="23"/>
  <c r="D149" i="23"/>
  <c r="J147" i="23"/>
  <c r="D144" i="22"/>
  <c r="G143" i="22"/>
  <c r="D148" i="3"/>
  <c r="G147" i="3"/>
  <c r="G140" i="20"/>
  <c r="D141" i="20"/>
  <c r="E141" i="20" s="1"/>
  <c r="J142" i="22"/>
  <c r="D153" i="42" l="1"/>
  <c r="E153" i="42" s="1"/>
  <c r="G152" i="42"/>
  <c r="D70" i="42"/>
  <c r="E70" i="42" s="1"/>
  <c r="E148" i="3"/>
  <c r="F148" i="3" s="1"/>
  <c r="H148" i="3" s="1"/>
  <c r="E144" i="22"/>
  <c r="F144" i="22" s="1"/>
  <c r="H144" i="22" s="1"/>
  <c r="E140" i="37"/>
  <c r="F140" i="37" s="1"/>
  <c r="H140" i="37" s="1"/>
  <c r="E146" i="29"/>
  <c r="F146" i="29" s="1"/>
  <c r="H146" i="29" s="1"/>
  <c r="B145" i="28"/>
  <c r="E64" i="24"/>
  <c r="F64" i="24" s="1"/>
  <c r="G64" i="24" s="1"/>
  <c r="B64" i="24"/>
  <c r="I143" i="26"/>
  <c r="E144" i="26"/>
  <c r="F144" i="26" s="1"/>
  <c r="H144" i="26" s="1"/>
  <c r="B144" i="26"/>
  <c r="I146" i="18"/>
  <c r="E147" i="18"/>
  <c r="F147" i="18" s="1"/>
  <c r="H147" i="18" s="1"/>
  <c r="B147" i="18"/>
  <c r="H66" i="3"/>
  <c r="I66" i="3" s="1"/>
  <c r="G64" i="18"/>
  <c r="I64" i="18" s="1"/>
  <c r="H65" i="4"/>
  <c r="I65" i="4" s="1"/>
  <c r="I61" i="23"/>
  <c r="I57" i="35"/>
  <c r="I61" i="27"/>
  <c r="B57" i="37"/>
  <c r="B62" i="28"/>
  <c r="B56" i="38"/>
  <c r="F56" i="38"/>
  <c r="H56" i="38" s="1"/>
  <c r="D62" i="22"/>
  <c r="E62" i="22" s="1"/>
  <c r="B61" i="26"/>
  <c r="F61" i="26"/>
  <c r="F59" i="29"/>
  <c r="B62" i="23"/>
  <c r="D65" i="19"/>
  <c r="E65" i="19" s="1"/>
  <c r="G61" i="22"/>
  <c r="I61" i="22" s="1"/>
  <c r="F60" i="25"/>
  <c r="H60" i="25" s="1"/>
  <c r="B60" i="25"/>
  <c r="E62" i="23"/>
  <c r="F62" i="23" s="1"/>
  <c r="D65" i="18"/>
  <c r="E65" i="18" s="1"/>
  <c r="F60" i="13"/>
  <c r="G60" i="13" s="1"/>
  <c r="B60" i="13"/>
  <c r="D66" i="4"/>
  <c r="E66" i="4" s="1"/>
  <c r="D63" i="21"/>
  <c r="E63" i="21" s="1"/>
  <c r="F58" i="34"/>
  <c r="H58" i="34" s="1"/>
  <c r="B58" i="34"/>
  <c r="B58" i="35"/>
  <c r="F58" i="35"/>
  <c r="H58" i="35" s="1"/>
  <c r="D67" i="3"/>
  <c r="H62" i="21"/>
  <c r="I62" i="21" s="1"/>
  <c r="F58" i="31"/>
  <c r="H58" i="31" s="1"/>
  <c r="B58" i="31"/>
  <c r="E57" i="37"/>
  <c r="F57" i="37" s="1"/>
  <c r="I57" i="34"/>
  <c r="G64" i="19"/>
  <c r="I64" i="19" s="1"/>
  <c r="B62" i="27"/>
  <c r="F62" i="27"/>
  <c r="G62" i="27" s="1"/>
  <c r="B140" i="37"/>
  <c r="I140" i="35"/>
  <c r="B141" i="35"/>
  <c r="E141" i="35"/>
  <c r="F141" i="35" s="1"/>
  <c r="H141" i="35" s="1"/>
  <c r="I147" i="4"/>
  <c r="I139" i="37"/>
  <c r="E148" i="4"/>
  <c r="F148" i="4" s="1"/>
  <c r="H148" i="4" s="1"/>
  <c r="B148" i="4"/>
  <c r="G143" i="25"/>
  <c r="D144" i="25"/>
  <c r="I140" i="31"/>
  <c r="E141" i="31"/>
  <c r="F141" i="31" s="1"/>
  <c r="H141" i="31" s="1"/>
  <c r="B141" i="31"/>
  <c r="D145" i="21"/>
  <c r="G144" i="21"/>
  <c r="J143" i="24"/>
  <c r="G140" i="34"/>
  <c r="D141" i="34"/>
  <c r="G144" i="24"/>
  <c r="D145" i="24"/>
  <c r="J143" i="21"/>
  <c r="D141" i="38"/>
  <c r="G140" i="38"/>
  <c r="D145" i="27"/>
  <c r="G144" i="27"/>
  <c r="B147" i="19"/>
  <c r="J143" i="27"/>
  <c r="I145" i="29"/>
  <c r="E147" i="19"/>
  <c r="F147" i="19" s="1"/>
  <c r="H147" i="19" s="1"/>
  <c r="D142" i="13"/>
  <c r="E142" i="13" s="1"/>
  <c r="G141" i="13"/>
  <c r="I146" i="19"/>
  <c r="B144" i="22"/>
  <c r="I143" i="22"/>
  <c r="I140" i="20"/>
  <c r="H140" i="20"/>
  <c r="I147" i="3"/>
  <c r="I148" i="23"/>
  <c r="E149" i="23"/>
  <c r="F149" i="23" s="1"/>
  <c r="H149" i="23" s="1"/>
  <c r="B141" i="20"/>
  <c r="F141" i="20"/>
  <c r="B148" i="3"/>
  <c r="B70" i="42" l="1"/>
  <c r="F70" i="42"/>
  <c r="B153" i="42"/>
  <c r="F153" i="42"/>
  <c r="E145" i="21"/>
  <c r="F145" i="21" s="1"/>
  <c r="H145" i="21" s="1"/>
  <c r="B144" i="25"/>
  <c r="E145" i="27"/>
  <c r="F145" i="27" s="1"/>
  <c r="H145" i="27" s="1"/>
  <c r="E141" i="38"/>
  <c r="F141" i="38" s="1"/>
  <c r="H141" i="38" s="1"/>
  <c r="E141" i="34"/>
  <c r="F141" i="34" s="1"/>
  <c r="H141" i="34" s="1"/>
  <c r="B146" i="28"/>
  <c r="H64" i="24"/>
  <c r="I64" i="24" s="1"/>
  <c r="D65" i="24"/>
  <c r="D145" i="26"/>
  <c r="G144" i="26"/>
  <c r="J143" i="26"/>
  <c r="E144" i="25"/>
  <c r="F144" i="25" s="1"/>
  <c r="D145" i="25" s="1"/>
  <c r="G147" i="18"/>
  <c r="D148" i="18"/>
  <c r="J144" i="28"/>
  <c r="J146" i="18"/>
  <c r="H62" i="27"/>
  <c r="I62" i="27" s="1"/>
  <c r="J147" i="4"/>
  <c r="G60" i="25"/>
  <c r="I60" i="25" s="1"/>
  <c r="D58" i="37"/>
  <c r="E58" i="37" s="1"/>
  <c r="H57" i="37"/>
  <c r="G57" i="37"/>
  <c r="B67" i="3"/>
  <c r="D59" i="34"/>
  <c r="E59" i="34" s="1"/>
  <c r="D63" i="23"/>
  <c r="E63" i="23" s="1"/>
  <c r="D60" i="29"/>
  <c r="B62" i="22"/>
  <c r="F62" i="22"/>
  <c r="H62" i="22" s="1"/>
  <c r="D63" i="27"/>
  <c r="E63" i="27" s="1"/>
  <c r="G58" i="35"/>
  <c r="I58" i="35" s="1"/>
  <c r="D61" i="13"/>
  <c r="E61" i="13" s="1"/>
  <c r="H59" i="29"/>
  <c r="G59" i="29"/>
  <c r="D59" i="31"/>
  <c r="E59" i="31" s="1"/>
  <c r="D59" i="35"/>
  <c r="B63" i="21"/>
  <c r="F63" i="21"/>
  <c r="F65" i="18"/>
  <c r="G65" i="18" s="1"/>
  <c r="B65" i="18"/>
  <c r="F65" i="19"/>
  <c r="G65" i="19" s="1"/>
  <c r="B65" i="19"/>
  <c r="D62" i="26"/>
  <c r="E62" i="26" s="1"/>
  <c r="D57" i="38"/>
  <c r="J140" i="31"/>
  <c r="G58" i="31"/>
  <c r="I58" i="31" s="1"/>
  <c r="G62" i="23"/>
  <c r="G58" i="34"/>
  <c r="I58" i="34" s="1"/>
  <c r="F66" i="4"/>
  <c r="H66" i="4" s="1"/>
  <c r="B66" i="4"/>
  <c r="H62" i="23"/>
  <c r="H61" i="26"/>
  <c r="G56" i="38"/>
  <c r="I56" i="38" s="1"/>
  <c r="E67" i="3"/>
  <c r="F67" i="3" s="1"/>
  <c r="H60" i="13"/>
  <c r="I60" i="13" s="1"/>
  <c r="D61" i="25"/>
  <c r="E61" i="25" s="1"/>
  <c r="G61" i="26"/>
  <c r="G141" i="35"/>
  <c r="D142" i="35"/>
  <c r="G148" i="4"/>
  <c r="D149" i="4"/>
  <c r="J146" i="19"/>
  <c r="D141" i="37"/>
  <c r="G140" i="37"/>
  <c r="D142" i="31"/>
  <c r="G141" i="31"/>
  <c r="I143" i="25"/>
  <c r="D148" i="19"/>
  <c r="G147" i="19"/>
  <c r="I144" i="24"/>
  <c r="H141" i="13"/>
  <c r="I141" i="13"/>
  <c r="F142" i="13"/>
  <c r="B142" i="13"/>
  <c r="I144" i="27"/>
  <c r="B141" i="34"/>
  <c r="J140" i="20"/>
  <c r="B145" i="27"/>
  <c r="I140" i="34"/>
  <c r="I144" i="21"/>
  <c r="B145" i="24"/>
  <c r="J143" i="22"/>
  <c r="I140" i="38"/>
  <c r="B145" i="21"/>
  <c r="J148" i="23"/>
  <c r="G146" i="29"/>
  <c r="D147" i="29"/>
  <c r="B141" i="38"/>
  <c r="E145" i="24"/>
  <c r="F145" i="24" s="1"/>
  <c r="H145" i="24" s="1"/>
  <c r="G149" i="23"/>
  <c r="D150" i="23"/>
  <c r="G144" i="22"/>
  <c r="D145" i="22"/>
  <c r="J147" i="3"/>
  <c r="G148" i="3"/>
  <c r="D149" i="3"/>
  <c r="D142" i="20"/>
  <c r="E142" i="20" s="1"/>
  <c r="G141" i="20"/>
  <c r="D71" i="42" l="1"/>
  <c r="E71" i="42" s="1"/>
  <c r="D154" i="42"/>
  <c r="G153" i="42"/>
  <c r="H144" i="25"/>
  <c r="E145" i="25"/>
  <c r="F145" i="25" s="1"/>
  <c r="E145" i="22"/>
  <c r="F145" i="22" s="1"/>
  <c r="H145" i="22" s="1"/>
  <c r="E149" i="3"/>
  <c r="F149" i="3" s="1"/>
  <c r="H149" i="3" s="1"/>
  <c r="B142" i="35"/>
  <c r="E142" i="31"/>
  <c r="F142" i="31" s="1"/>
  <c r="H142" i="31" s="1"/>
  <c r="E147" i="29"/>
  <c r="F147" i="29" s="1"/>
  <c r="H147" i="29" s="1"/>
  <c r="J145" i="28"/>
  <c r="G144" i="25"/>
  <c r="I144" i="25" s="1"/>
  <c r="E65" i="24"/>
  <c r="F65" i="24" s="1"/>
  <c r="H65" i="24" s="1"/>
  <c r="B65" i="24"/>
  <c r="B145" i="25"/>
  <c r="I144" i="26"/>
  <c r="E145" i="26"/>
  <c r="F145" i="26" s="1"/>
  <c r="H145" i="26" s="1"/>
  <c r="B145" i="26"/>
  <c r="I62" i="28"/>
  <c r="E148" i="18"/>
  <c r="F148" i="18" s="1"/>
  <c r="H148" i="18" s="1"/>
  <c r="B148" i="18"/>
  <c r="I147" i="18"/>
  <c r="I59" i="29"/>
  <c r="H65" i="19"/>
  <c r="I65" i="19" s="1"/>
  <c r="I57" i="37"/>
  <c r="I61" i="26"/>
  <c r="D68" i="3"/>
  <c r="E68" i="3" s="1"/>
  <c r="G67" i="3"/>
  <c r="H67" i="3"/>
  <c r="G66" i="4"/>
  <c r="I66" i="4" s="1"/>
  <c r="B57" i="38"/>
  <c r="H65" i="18"/>
  <c r="I65" i="18" s="1"/>
  <c r="B59" i="35"/>
  <c r="F61" i="25"/>
  <c r="H61" i="25" s="1"/>
  <c r="B61" i="25"/>
  <c r="D67" i="4"/>
  <c r="E67" i="4" s="1"/>
  <c r="B62" i="26"/>
  <c r="F62" i="26"/>
  <c r="D66" i="18"/>
  <c r="E66" i="18" s="1"/>
  <c r="F59" i="31"/>
  <c r="G59" i="31" s="1"/>
  <c r="B59" i="31"/>
  <c r="B63" i="27"/>
  <c r="F63" i="27"/>
  <c r="G63" i="27" s="1"/>
  <c r="F58" i="37"/>
  <c r="H58" i="37" s="1"/>
  <c r="B58" i="37"/>
  <c r="D64" i="21"/>
  <c r="E64" i="21" s="1"/>
  <c r="B63" i="23"/>
  <c r="F63" i="23"/>
  <c r="H63" i="23" s="1"/>
  <c r="E142" i="35"/>
  <c r="F142" i="35" s="1"/>
  <c r="H142" i="35" s="1"/>
  <c r="G63" i="21"/>
  <c r="D63" i="22"/>
  <c r="E63" i="22" s="1"/>
  <c r="H63" i="21"/>
  <c r="B59" i="34"/>
  <c r="F59" i="34"/>
  <c r="H59" i="34" s="1"/>
  <c r="I62" i="23"/>
  <c r="D66" i="19"/>
  <c r="E66" i="19" s="1"/>
  <c r="G62" i="22"/>
  <c r="I62" i="22" s="1"/>
  <c r="B63" i="28"/>
  <c r="E57" i="38"/>
  <c r="F57" i="38" s="1"/>
  <c r="E59" i="35"/>
  <c r="F59" i="35" s="1"/>
  <c r="F61" i="13"/>
  <c r="H61" i="13" s="1"/>
  <c r="B61" i="13"/>
  <c r="E60" i="29"/>
  <c r="F60" i="29" s="1"/>
  <c r="E141" i="37"/>
  <c r="F141" i="37" s="1"/>
  <c r="H141" i="37" s="1"/>
  <c r="B141" i="37"/>
  <c r="I140" i="37"/>
  <c r="E149" i="4"/>
  <c r="F149" i="4" s="1"/>
  <c r="H149" i="4" s="1"/>
  <c r="B149" i="4"/>
  <c r="I148" i="4"/>
  <c r="I141" i="35"/>
  <c r="J144" i="21"/>
  <c r="I141" i="31"/>
  <c r="B142" i="31"/>
  <c r="G145" i="24"/>
  <c r="D146" i="24"/>
  <c r="D143" i="13"/>
  <c r="E143" i="13" s="1"/>
  <c r="G142" i="13"/>
  <c r="J144" i="24"/>
  <c r="I147" i="19"/>
  <c r="B148" i="19"/>
  <c r="B147" i="28"/>
  <c r="G141" i="34"/>
  <c r="D142" i="34"/>
  <c r="E148" i="19"/>
  <c r="F148" i="19" s="1"/>
  <c r="H148" i="19" s="1"/>
  <c r="I146" i="29"/>
  <c r="G141" i="38"/>
  <c r="D142" i="38"/>
  <c r="D146" i="27"/>
  <c r="G145" i="27"/>
  <c r="J144" i="27"/>
  <c r="G145" i="21"/>
  <c r="D146" i="21"/>
  <c r="B149" i="3"/>
  <c r="I148" i="3"/>
  <c r="E150" i="23"/>
  <c r="F150" i="23" s="1"/>
  <c r="H150" i="23" s="1"/>
  <c r="I144" i="22"/>
  <c r="I141" i="20"/>
  <c r="H141" i="20"/>
  <c r="F142" i="20"/>
  <c r="B142" i="20"/>
  <c r="B145" i="22"/>
  <c r="I149" i="23"/>
  <c r="B154" i="42" l="1"/>
  <c r="E154" i="42"/>
  <c r="F154" i="42" s="1"/>
  <c r="F71" i="42"/>
  <c r="B71" i="42"/>
  <c r="D146" i="25"/>
  <c r="E146" i="25" s="1"/>
  <c r="F146" i="25" s="1"/>
  <c r="H146" i="25" s="1"/>
  <c r="H145" i="25"/>
  <c r="E146" i="24"/>
  <c r="F146" i="24" s="1"/>
  <c r="H146" i="24" s="1"/>
  <c r="E146" i="27"/>
  <c r="F146" i="27" s="1"/>
  <c r="H146" i="27" s="1"/>
  <c r="G145" i="25"/>
  <c r="I145" i="25" s="1"/>
  <c r="E146" i="21"/>
  <c r="F146" i="21" s="1"/>
  <c r="H146" i="21" s="1"/>
  <c r="E142" i="38"/>
  <c r="F142" i="38" s="1"/>
  <c r="H142" i="38" s="1"/>
  <c r="E142" i="34"/>
  <c r="F142" i="34" s="1"/>
  <c r="H142" i="34" s="1"/>
  <c r="G65" i="24"/>
  <c r="I65" i="24" s="1"/>
  <c r="D66" i="24"/>
  <c r="J147" i="18"/>
  <c r="G145" i="26"/>
  <c r="D146" i="26"/>
  <c r="J148" i="4"/>
  <c r="J144" i="26"/>
  <c r="I67" i="3"/>
  <c r="J146" i="28"/>
  <c r="D149" i="18"/>
  <c r="G148" i="18"/>
  <c r="I63" i="28"/>
  <c r="G63" i="23"/>
  <c r="I63" i="23" s="1"/>
  <c r="I63" i="21"/>
  <c r="G59" i="34"/>
  <c r="I59" i="34" s="1"/>
  <c r="D61" i="29"/>
  <c r="E61" i="29" s="1"/>
  <c r="H60" i="29"/>
  <c r="G60" i="29"/>
  <c r="D60" i="35"/>
  <c r="E60" i="35" s="1"/>
  <c r="H59" i="35"/>
  <c r="G59" i="35"/>
  <c r="D58" i="38"/>
  <c r="E58" i="38" s="1"/>
  <c r="G57" i="38"/>
  <c r="H57" i="38"/>
  <c r="D59" i="37"/>
  <c r="E59" i="37" s="1"/>
  <c r="D60" i="31"/>
  <c r="D62" i="13"/>
  <c r="E62" i="13" s="1"/>
  <c r="F67" i="4"/>
  <c r="G67" i="4" s="1"/>
  <c r="B67" i="4"/>
  <c r="B66" i="19"/>
  <c r="F66" i="19"/>
  <c r="H66" i="19" s="1"/>
  <c r="D64" i="27"/>
  <c r="E64" i="27" s="1"/>
  <c r="B66" i="18"/>
  <c r="F66" i="18"/>
  <c r="D62" i="25"/>
  <c r="E62" i="25" s="1"/>
  <c r="B63" i="22"/>
  <c r="F63" i="22"/>
  <c r="H63" i="27"/>
  <c r="I63" i="27" s="1"/>
  <c r="D63" i="26"/>
  <c r="E63" i="26" s="1"/>
  <c r="F64" i="21"/>
  <c r="G64" i="21" s="1"/>
  <c r="B64" i="21"/>
  <c r="H62" i="26"/>
  <c r="G61" i="25"/>
  <c r="I61" i="25" s="1"/>
  <c r="D60" i="34"/>
  <c r="E60" i="34" s="1"/>
  <c r="D143" i="35"/>
  <c r="G142" i="35"/>
  <c r="G62" i="26"/>
  <c r="G61" i="13"/>
  <c r="I61" i="13" s="1"/>
  <c r="D64" i="23"/>
  <c r="E64" i="23" s="1"/>
  <c r="G58" i="37"/>
  <c r="I58" i="37" s="1"/>
  <c r="H59" i="31"/>
  <c r="I59" i="31" s="1"/>
  <c r="B68" i="3"/>
  <c r="F68" i="3"/>
  <c r="H68" i="3" s="1"/>
  <c r="J141" i="31"/>
  <c r="D142" i="37"/>
  <c r="G141" i="37"/>
  <c r="G149" i="4"/>
  <c r="D150" i="4"/>
  <c r="D143" i="31"/>
  <c r="G142" i="31"/>
  <c r="J147" i="19"/>
  <c r="J148" i="3"/>
  <c r="D149" i="19"/>
  <c r="G148" i="19"/>
  <c r="B142" i="38"/>
  <c r="B146" i="21"/>
  <c r="I141" i="38"/>
  <c r="H142" i="13"/>
  <c r="I142" i="13"/>
  <c r="I145" i="21"/>
  <c r="G147" i="29"/>
  <c r="D148" i="29"/>
  <c r="B143" i="13"/>
  <c r="F143" i="13"/>
  <c r="I141" i="34"/>
  <c r="I145" i="27"/>
  <c r="B146" i="24"/>
  <c r="J149" i="23"/>
  <c r="J144" i="22"/>
  <c r="B146" i="27"/>
  <c r="B142" i="34"/>
  <c r="I145" i="24"/>
  <c r="G149" i="3"/>
  <c r="D150" i="3"/>
  <c r="D151" i="23"/>
  <c r="G150" i="23"/>
  <c r="J141" i="20"/>
  <c r="G145" i="22"/>
  <c r="D146" i="22"/>
  <c r="D143" i="20"/>
  <c r="E143" i="20" s="1"/>
  <c r="G142" i="20"/>
  <c r="D155" i="42" l="1"/>
  <c r="E155" i="42" s="1"/>
  <c r="E156" i="42" s="1"/>
  <c r="G154" i="42"/>
  <c r="D72" i="42"/>
  <c r="E72" i="42" s="1"/>
  <c r="B146" i="25"/>
  <c r="E146" i="22"/>
  <c r="F146" i="22" s="1"/>
  <c r="H146" i="22" s="1"/>
  <c r="E151" i="23"/>
  <c r="F151" i="23" s="1"/>
  <c r="H151" i="23" s="1"/>
  <c r="E150" i="3"/>
  <c r="F150" i="3" s="1"/>
  <c r="H150" i="3" s="1"/>
  <c r="E148" i="29"/>
  <c r="F148" i="29" s="1"/>
  <c r="H148" i="29" s="1"/>
  <c r="E66" i="24"/>
  <c r="F66" i="24" s="1"/>
  <c r="H66" i="24" s="1"/>
  <c r="B66" i="24"/>
  <c r="I57" i="38"/>
  <c r="E146" i="26"/>
  <c r="F146" i="26" s="1"/>
  <c r="H146" i="26" s="1"/>
  <c r="B146" i="26"/>
  <c r="I145" i="26"/>
  <c r="I148" i="18"/>
  <c r="B149" i="18"/>
  <c r="E149" i="18"/>
  <c r="F149" i="18" s="1"/>
  <c r="H149" i="18" s="1"/>
  <c r="H67" i="4"/>
  <c r="I67" i="4" s="1"/>
  <c r="G66" i="19"/>
  <c r="I66" i="19" s="1"/>
  <c r="I62" i="26"/>
  <c r="I59" i="35"/>
  <c r="B60" i="31"/>
  <c r="B64" i="23"/>
  <c r="F64" i="23"/>
  <c r="F60" i="34"/>
  <c r="B60" i="34"/>
  <c r="B62" i="25"/>
  <c r="F62" i="25"/>
  <c r="B63" i="26"/>
  <c r="F63" i="26"/>
  <c r="G63" i="26" s="1"/>
  <c r="D67" i="18"/>
  <c r="E67" i="18" s="1"/>
  <c r="B59" i="37"/>
  <c r="F59" i="37"/>
  <c r="H59" i="37" s="1"/>
  <c r="F60" i="35"/>
  <c r="B60" i="35"/>
  <c r="D69" i="3"/>
  <c r="E69" i="3" s="1"/>
  <c r="B64" i="28"/>
  <c r="G66" i="18"/>
  <c r="D68" i="4"/>
  <c r="E68" i="4" s="1"/>
  <c r="D64" i="22"/>
  <c r="E64" i="22" s="1"/>
  <c r="I60" i="29"/>
  <c r="G68" i="3"/>
  <c r="I68" i="3" s="1"/>
  <c r="G63" i="22"/>
  <c r="H66" i="18"/>
  <c r="D67" i="19"/>
  <c r="E67" i="19" s="1"/>
  <c r="I142" i="35"/>
  <c r="D65" i="21"/>
  <c r="E65" i="21" s="1"/>
  <c r="B62" i="13"/>
  <c r="F62" i="13"/>
  <c r="B58" i="38"/>
  <c r="F58" i="38"/>
  <c r="H58" i="38" s="1"/>
  <c r="F61" i="29"/>
  <c r="G61" i="29" s="1"/>
  <c r="E143" i="35"/>
  <c r="F143" i="35" s="1"/>
  <c r="H143" i="35" s="1"/>
  <c r="B143" i="35"/>
  <c r="H64" i="21"/>
  <c r="I64" i="21" s="1"/>
  <c r="H63" i="22"/>
  <c r="B64" i="27"/>
  <c r="F64" i="27"/>
  <c r="H64" i="27" s="1"/>
  <c r="E60" i="31"/>
  <c r="F60" i="31" s="1"/>
  <c r="E150" i="4"/>
  <c r="F150" i="4" s="1"/>
  <c r="H150" i="4" s="1"/>
  <c r="B150" i="4"/>
  <c r="I149" i="4"/>
  <c r="I141" i="37"/>
  <c r="E142" i="37"/>
  <c r="F142" i="37" s="1"/>
  <c r="H142" i="37" s="1"/>
  <c r="B142" i="37"/>
  <c r="I142" i="31"/>
  <c r="E143" i="31"/>
  <c r="F143" i="31" s="1"/>
  <c r="H143" i="31" s="1"/>
  <c r="B143" i="31"/>
  <c r="J145" i="24"/>
  <c r="G146" i="25"/>
  <c r="D147" i="25"/>
  <c r="D143" i="34"/>
  <c r="G142" i="34"/>
  <c r="D144" i="13"/>
  <c r="G143" i="13"/>
  <c r="B149" i="19"/>
  <c r="D147" i="21"/>
  <c r="G146" i="21"/>
  <c r="D147" i="24"/>
  <c r="G146" i="24"/>
  <c r="I147" i="29"/>
  <c r="G146" i="27"/>
  <c r="D147" i="27"/>
  <c r="E149" i="19"/>
  <c r="F149" i="19" s="1"/>
  <c r="H149" i="19" s="1"/>
  <c r="B148" i="28"/>
  <c r="D143" i="38"/>
  <c r="G142" i="38"/>
  <c r="J145" i="27"/>
  <c r="J145" i="21"/>
  <c r="I148" i="19"/>
  <c r="H142" i="20"/>
  <c r="I142" i="20"/>
  <c r="B143" i="20"/>
  <c r="F143" i="20"/>
  <c r="B146" i="22"/>
  <c r="I149" i="3"/>
  <c r="B150" i="3"/>
  <c r="I145" i="22"/>
  <c r="I150" i="23"/>
  <c r="F72" i="42" l="1"/>
  <c r="B155" i="42"/>
  <c r="F155" i="42"/>
  <c r="G155" i="42" s="1"/>
  <c r="E147" i="21"/>
  <c r="F147" i="21" s="1"/>
  <c r="H147" i="21" s="1"/>
  <c r="E147" i="27"/>
  <c r="F147" i="27" s="1"/>
  <c r="H147" i="27" s="1"/>
  <c r="E147" i="24"/>
  <c r="F147" i="24" s="1"/>
  <c r="H147" i="24" s="1"/>
  <c r="E143" i="34"/>
  <c r="F143" i="34" s="1"/>
  <c r="H143" i="34" s="1"/>
  <c r="G66" i="24"/>
  <c r="I66" i="24" s="1"/>
  <c r="D67" i="24"/>
  <c r="J145" i="26"/>
  <c r="D147" i="26"/>
  <c r="G146" i="26"/>
  <c r="G149" i="18"/>
  <c r="D150" i="18"/>
  <c r="J148" i="18"/>
  <c r="I63" i="22"/>
  <c r="G59" i="37"/>
  <c r="I59" i="37" s="1"/>
  <c r="I66" i="18"/>
  <c r="H61" i="29"/>
  <c r="I61" i="29" s="1"/>
  <c r="D61" i="31"/>
  <c r="E61" i="31" s="1"/>
  <c r="H60" i="31"/>
  <c r="G60" i="31"/>
  <c r="J142" i="31"/>
  <c r="D61" i="35"/>
  <c r="E61" i="35" s="1"/>
  <c r="D64" i="26"/>
  <c r="E64" i="26" s="1"/>
  <c r="D63" i="25"/>
  <c r="E63" i="25" s="1"/>
  <c r="D65" i="23"/>
  <c r="E65" i="23" s="1"/>
  <c r="D59" i="38"/>
  <c r="E59" i="38" s="1"/>
  <c r="B65" i="21"/>
  <c r="F65" i="21"/>
  <c r="H65" i="21" s="1"/>
  <c r="G143" i="35"/>
  <c r="D144" i="35"/>
  <c r="H63" i="26"/>
  <c r="I63" i="26" s="1"/>
  <c r="G58" i="38"/>
  <c r="I58" i="38" s="1"/>
  <c r="B64" i="22"/>
  <c r="F64" i="22"/>
  <c r="D60" i="37"/>
  <c r="D61" i="34"/>
  <c r="E61" i="34" s="1"/>
  <c r="D63" i="13"/>
  <c r="B69" i="3"/>
  <c r="F69" i="3"/>
  <c r="G69" i="3" s="1"/>
  <c r="H60" i="34"/>
  <c r="D65" i="27"/>
  <c r="E65" i="27" s="1"/>
  <c r="H62" i="13"/>
  <c r="B67" i="19"/>
  <c r="F67" i="19"/>
  <c r="H67" i="19" s="1"/>
  <c r="B68" i="4"/>
  <c r="F68" i="4"/>
  <c r="H68" i="4" s="1"/>
  <c r="G60" i="34"/>
  <c r="G62" i="13"/>
  <c r="G60" i="35"/>
  <c r="G62" i="25"/>
  <c r="G64" i="23"/>
  <c r="G64" i="27"/>
  <c r="I64" i="27" s="1"/>
  <c r="D62" i="29"/>
  <c r="E62" i="29" s="1"/>
  <c r="I64" i="28"/>
  <c r="H60" i="35"/>
  <c r="B67" i="18"/>
  <c r="F67" i="18"/>
  <c r="H62" i="25"/>
  <c r="H64" i="23"/>
  <c r="G142" i="37"/>
  <c r="D143" i="37"/>
  <c r="J149" i="4"/>
  <c r="G150" i="4"/>
  <c r="D151" i="4"/>
  <c r="J149" i="3"/>
  <c r="J148" i="19"/>
  <c r="G143" i="31"/>
  <c r="D144" i="31"/>
  <c r="J147" i="28"/>
  <c r="G149" i="19"/>
  <c r="D150" i="19"/>
  <c r="B143" i="38"/>
  <c r="H143" i="13"/>
  <c r="I143" i="13"/>
  <c r="E143" i="38"/>
  <c r="F143" i="38" s="1"/>
  <c r="H143" i="38" s="1"/>
  <c r="I146" i="21"/>
  <c r="B144" i="13"/>
  <c r="J142" i="20"/>
  <c r="I146" i="24"/>
  <c r="I142" i="34"/>
  <c r="B147" i="24"/>
  <c r="B143" i="34"/>
  <c r="G148" i="29"/>
  <c r="D149" i="29"/>
  <c r="B147" i="25"/>
  <c r="B147" i="27"/>
  <c r="E147" i="25"/>
  <c r="F147" i="25" s="1"/>
  <c r="H147" i="25" s="1"/>
  <c r="B147" i="21"/>
  <c r="I142" i="38"/>
  <c r="I146" i="27"/>
  <c r="E144" i="13"/>
  <c r="F144" i="13" s="1"/>
  <c r="I146" i="25"/>
  <c r="G146" i="22"/>
  <c r="D147" i="22"/>
  <c r="J150" i="23"/>
  <c r="G143" i="20"/>
  <c r="D144" i="20"/>
  <c r="E144" i="20" s="1"/>
  <c r="G151" i="23"/>
  <c r="D152" i="23"/>
  <c r="D151" i="3"/>
  <c r="G150" i="3"/>
  <c r="J145" i="22"/>
  <c r="I64" i="23" l="1"/>
  <c r="D73" i="42"/>
  <c r="E73" i="42" s="1"/>
  <c r="E74" i="42" s="1"/>
  <c r="E152" i="23"/>
  <c r="F152" i="23" s="1"/>
  <c r="H152" i="23" s="1"/>
  <c r="E151" i="3"/>
  <c r="F151" i="3" s="1"/>
  <c r="H151" i="3" s="1"/>
  <c r="E149" i="29"/>
  <c r="F149" i="29" s="1"/>
  <c r="H149" i="29" s="1"/>
  <c r="I62" i="25"/>
  <c r="E67" i="24"/>
  <c r="F67" i="24" s="1"/>
  <c r="B67" i="24"/>
  <c r="I146" i="26"/>
  <c r="E147" i="26"/>
  <c r="F147" i="26" s="1"/>
  <c r="H147" i="26" s="1"/>
  <c r="B147" i="26"/>
  <c r="E150" i="18"/>
  <c r="F150" i="18" s="1"/>
  <c r="H150" i="18" s="1"/>
  <c r="B150" i="18"/>
  <c r="I149" i="18"/>
  <c r="I62" i="13"/>
  <c r="I60" i="35"/>
  <c r="H69" i="3"/>
  <c r="I69" i="3" s="1"/>
  <c r="I60" i="34"/>
  <c r="B60" i="37"/>
  <c r="F62" i="29"/>
  <c r="G62" i="29" s="1"/>
  <c r="D65" i="22"/>
  <c r="E65" i="22" s="1"/>
  <c r="B65" i="28"/>
  <c r="B59" i="38"/>
  <c r="F59" i="38"/>
  <c r="H59" i="38" s="1"/>
  <c r="F61" i="35"/>
  <c r="G61" i="35" s="1"/>
  <c r="B61" i="35"/>
  <c r="D68" i="18"/>
  <c r="D69" i="4"/>
  <c r="E69" i="4" s="1"/>
  <c r="B63" i="13"/>
  <c r="E144" i="35"/>
  <c r="F144" i="35" s="1"/>
  <c r="H144" i="35" s="1"/>
  <c r="B144" i="35"/>
  <c r="H67" i="18"/>
  <c r="G68" i="4"/>
  <c r="I68" i="4" s="1"/>
  <c r="E63" i="13"/>
  <c r="F63" i="13" s="1"/>
  <c r="H64" i="22"/>
  <c r="I143" i="35"/>
  <c r="F65" i="23"/>
  <c r="G65" i="23" s="1"/>
  <c r="B65" i="23"/>
  <c r="F65" i="27"/>
  <c r="B65" i="27"/>
  <c r="G64" i="22"/>
  <c r="G67" i="18"/>
  <c r="D66" i="21"/>
  <c r="E66" i="21" s="1"/>
  <c r="B63" i="25"/>
  <c r="F63" i="25"/>
  <c r="H63" i="25" s="1"/>
  <c r="I60" i="31"/>
  <c r="D68" i="19"/>
  <c r="E68" i="19" s="1"/>
  <c r="F61" i="34"/>
  <c r="H61" i="34" s="1"/>
  <c r="B61" i="34"/>
  <c r="G67" i="19"/>
  <c r="I67" i="19" s="1"/>
  <c r="D70" i="3"/>
  <c r="E70" i="3" s="1"/>
  <c r="E60" i="37"/>
  <c r="F60" i="37" s="1"/>
  <c r="G65" i="21"/>
  <c r="I65" i="21" s="1"/>
  <c r="B64" i="26"/>
  <c r="F64" i="26"/>
  <c r="H64" i="26" s="1"/>
  <c r="B61" i="31"/>
  <c r="F61" i="31"/>
  <c r="H61" i="31" s="1"/>
  <c r="B151" i="4"/>
  <c r="E151" i="4"/>
  <c r="F151" i="4" s="1"/>
  <c r="H151" i="4" s="1"/>
  <c r="I150" i="4"/>
  <c r="B143" i="37"/>
  <c r="I142" i="37"/>
  <c r="E143" i="37"/>
  <c r="F143" i="37" s="1"/>
  <c r="H143" i="37" s="1"/>
  <c r="E144" i="31"/>
  <c r="F144" i="31" s="1"/>
  <c r="H144" i="31" s="1"/>
  <c r="B144" i="31"/>
  <c r="I143" i="31"/>
  <c r="J146" i="24"/>
  <c r="G147" i="25"/>
  <c r="D148" i="25"/>
  <c r="G143" i="38"/>
  <c r="D144" i="38"/>
  <c r="D145" i="13"/>
  <c r="E145" i="13" s="1"/>
  <c r="G144" i="13"/>
  <c r="D148" i="21"/>
  <c r="G147" i="21"/>
  <c r="G143" i="34"/>
  <c r="D144" i="34"/>
  <c r="G147" i="24"/>
  <c r="D148" i="24"/>
  <c r="D148" i="27"/>
  <c r="G147" i="27"/>
  <c r="I148" i="29"/>
  <c r="B149" i="28"/>
  <c r="B150" i="19"/>
  <c r="J146" i="27"/>
  <c r="J146" i="21"/>
  <c r="E150" i="19"/>
  <c r="F150" i="19" s="1"/>
  <c r="H150" i="19" s="1"/>
  <c r="I149" i="19"/>
  <c r="I150" i="3"/>
  <c r="B147" i="22"/>
  <c r="I151" i="23"/>
  <c r="F144" i="20"/>
  <c r="B144" i="20"/>
  <c r="I146" i="22"/>
  <c r="B151" i="3"/>
  <c r="I143" i="20"/>
  <c r="H143" i="20"/>
  <c r="E147" i="22"/>
  <c r="F147" i="22" s="1"/>
  <c r="H147" i="22" s="1"/>
  <c r="B73" i="42" l="1"/>
  <c r="F73" i="42"/>
  <c r="E148" i="21"/>
  <c r="F148" i="21" s="1"/>
  <c r="H148" i="21" s="1"/>
  <c r="E148" i="24"/>
  <c r="F148" i="24" s="1"/>
  <c r="H148" i="24" s="1"/>
  <c r="E144" i="38"/>
  <c r="F144" i="38" s="1"/>
  <c r="H144" i="38" s="1"/>
  <c r="D68" i="24"/>
  <c r="H67" i="24"/>
  <c r="G67" i="24"/>
  <c r="J146" i="26"/>
  <c r="G147" i="26"/>
  <c r="D148" i="26"/>
  <c r="G150" i="18"/>
  <c r="D151" i="18"/>
  <c r="J149" i="18"/>
  <c r="G61" i="31"/>
  <c r="I61" i="31" s="1"/>
  <c r="G64" i="26"/>
  <c r="I64" i="26" s="1"/>
  <c r="G61" i="34"/>
  <c r="I61" i="34" s="1"/>
  <c r="I64" i="22"/>
  <c r="H61" i="35"/>
  <c r="I61" i="35" s="1"/>
  <c r="G59" i="38"/>
  <c r="I59" i="38" s="1"/>
  <c r="D64" i="13"/>
  <c r="H63" i="13"/>
  <c r="G63" i="13"/>
  <c r="D145" i="35"/>
  <c r="G144" i="35"/>
  <c r="D61" i="37"/>
  <c r="E61" i="37" s="1"/>
  <c r="G60" i="37"/>
  <c r="H60" i="37"/>
  <c r="D66" i="27"/>
  <c r="E66" i="27" s="1"/>
  <c r="B68" i="18"/>
  <c r="F68" i="19"/>
  <c r="H68" i="19" s="1"/>
  <c r="B68" i="19"/>
  <c r="F66" i="21"/>
  <c r="H66" i="21" s="1"/>
  <c r="B66" i="21"/>
  <c r="G65" i="27"/>
  <c r="D63" i="29"/>
  <c r="E63" i="29" s="1"/>
  <c r="F70" i="3"/>
  <c r="G70" i="3" s="1"/>
  <c r="B70" i="3"/>
  <c r="H62" i="29"/>
  <c r="I62" i="29" s="1"/>
  <c r="D62" i="35"/>
  <c r="E62" i="35" s="1"/>
  <c r="D65" i="26"/>
  <c r="E65" i="26" s="1"/>
  <c r="D64" i="25"/>
  <c r="E64" i="25" s="1"/>
  <c r="I67" i="18"/>
  <c r="D66" i="23"/>
  <c r="E66" i="23" s="1"/>
  <c r="B69" i="4"/>
  <c r="F69" i="4"/>
  <c r="D60" i="38"/>
  <c r="E60" i="38" s="1"/>
  <c r="F65" i="22"/>
  <c r="G65" i="22" s="1"/>
  <c r="B65" i="22"/>
  <c r="D62" i="31"/>
  <c r="D62" i="34"/>
  <c r="E62" i="34" s="1"/>
  <c r="G63" i="25"/>
  <c r="I63" i="25" s="1"/>
  <c r="H65" i="27"/>
  <c r="H65" i="23"/>
  <c r="I65" i="23" s="1"/>
  <c r="E68" i="18"/>
  <c r="F68" i="18" s="1"/>
  <c r="G143" i="37"/>
  <c r="D144" i="37"/>
  <c r="J150" i="4"/>
  <c r="D152" i="4"/>
  <c r="G151" i="4"/>
  <c r="J151" i="23"/>
  <c r="J143" i="31"/>
  <c r="G144" i="31"/>
  <c r="D145" i="31"/>
  <c r="J148" i="28"/>
  <c r="G150" i="19"/>
  <c r="D151" i="19"/>
  <c r="B148" i="27"/>
  <c r="B144" i="34"/>
  <c r="I143" i="34"/>
  <c r="F145" i="13"/>
  <c r="B145" i="13"/>
  <c r="J150" i="3"/>
  <c r="I147" i="24"/>
  <c r="B144" i="38"/>
  <c r="B148" i="24"/>
  <c r="J149" i="19"/>
  <c r="D150" i="29"/>
  <c r="G149" i="29"/>
  <c r="I143" i="38"/>
  <c r="I147" i="21"/>
  <c r="B148" i="25"/>
  <c r="E148" i="27"/>
  <c r="F148" i="27" s="1"/>
  <c r="H148" i="27" s="1"/>
  <c r="B148" i="21"/>
  <c r="E148" i="25"/>
  <c r="F148" i="25" s="1"/>
  <c r="H148" i="25" s="1"/>
  <c r="I147" i="27"/>
  <c r="E144" i="34"/>
  <c r="F144" i="34" s="1"/>
  <c r="H144" i="34" s="1"/>
  <c r="I144" i="13"/>
  <c r="H144" i="13"/>
  <c r="I147" i="25"/>
  <c r="G151" i="3"/>
  <c r="D152" i="3"/>
  <c r="G152" i="23"/>
  <c r="D153" i="23"/>
  <c r="G144" i="20"/>
  <c r="D145" i="20"/>
  <c r="E145" i="20" s="1"/>
  <c r="J143" i="20"/>
  <c r="G147" i="22"/>
  <c r="D148" i="22"/>
  <c r="J146" i="22"/>
  <c r="B144" i="37" l="1"/>
  <c r="E145" i="31"/>
  <c r="F145" i="31" s="1"/>
  <c r="H145" i="31" s="1"/>
  <c r="E150" i="29"/>
  <c r="F150" i="29" s="1"/>
  <c r="H150" i="29" s="1"/>
  <c r="I67" i="24"/>
  <c r="E68" i="24"/>
  <c r="F68" i="24" s="1"/>
  <c r="D69" i="24" s="1"/>
  <c r="B68" i="24"/>
  <c r="I60" i="37"/>
  <c r="E148" i="26"/>
  <c r="F148" i="26" s="1"/>
  <c r="H148" i="26" s="1"/>
  <c r="B148" i="26"/>
  <c r="I147" i="26"/>
  <c r="E151" i="18"/>
  <c r="F151" i="18" s="1"/>
  <c r="H151" i="18" s="1"/>
  <c r="B151" i="18"/>
  <c r="I150" i="18"/>
  <c r="I65" i="27"/>
  <c r="G66" i="21"/>
  <c r="I66" i="21" s="1"/>
  <c r="G68" i="19"/>
  <c r="I68" i="19" s="1"/>
  <c r="H65" i="22"/>
  <c r="I65" i="22" s="1"/>
  <c r="I65" i="28"/>
  <c r="D69" i="18"/>
  <c r="E69" i="18" s="1"/>
  <c r="H68" i="18"/>
  <c r="G68" i="18"/>
  <c r="B62" i="31"/>
  <c r="D70" i="4"/>
  <c r="E70" i="4" s="1"/>
  <c r="F61" i="37"/>
  <c r="B61" i="37"/>
  <c r="G69" i="4"/>
  <c r="F65" i="26"/>
  <c r="H65" i="26" s="1"/>
  <c r="B65" i="26"/>
  <c r="D71" i="3"/>
  <c r="E71" i="3" s="1"/>
  <c r="I144" i="35"/>
  <c r="D67" i="21"/>
  <c r="E67" i="21" s="1"/>
  <c r="E145" i="35"/>
  <c r="F145" i="35" s="1"/>
  <c r="H145" i="35" s="1"/>
  <c r="B145" i="35"/>
  <c r="D66" i="22"/>
  <c r="E66" i="22" s="1"/>
  <c r="B66" i="23"/>
  <c r="F66" i="23"/>
  <c r="G66" i="23" s="1"/>
  <c r="B62" i="35"/>
  <c r="F62" i="35"/>
  <c r="H62" i="35" s="1"/>
  <c r="F63" i="29"/>
  <c r="G63" i="29" s="1"/>
  <c r="B66" i="27"/>
  <c r="F66" i="27"/>
  <c r="I63" i="13"/>
  <c r="F62" i="34"/>
  <c r="B62" i="34"/>
  <c r="B60" i="38"/>
  <c r="F60" i="38"/>
  <c r="B66" i="28"/>
  <c r="B64" i="13"/>
  <c r="E62" i="31"/>
  <c r="F62" i="31" s="1"/>
  <c r="H69" i="4"/>
  <c r="F64" i="25"/>
  <c r="B64" i="25"/>
  <c r="H70" i="3"/>
  <c r="I70" i="3" s="1"/>
  <c r="D69" i="19"/>
  <c r="E69" i="19" s="1"/>
  <c r="E64" i="13"/>
  <c r="F64" i="13" s="1"/>
  <c r="B152" i="4"/>
  <c r="E152" i="4"/>
  <c r="F152" i="4" s="1"/>
  <c r="H152" i="4" s="1"/>
  <c r="I151" i="4"/>
  <c r="I143" i="37"/>
  <c r="J147" i="21"/>
  <c r="E144" i="37"/>
  <c r="F144" i="37" s="1"/>
  <c r="H144" i="37" s="1"/>
  <c r="B145" i="31"/>
  <c r="I144" i="31"/>
  <c r="G144" i="34"/>
  <c r="D145" i="34"/>
  <c r="G148" i="27"/>
  <c r="D149" i="27"/>
  <c r="I149" i="29"/>
  <c r="D145" i="38"/>
  <c r="G144" i="38"/>
  <c r="B151" i="19"/>
  <c r="D146" i="13"/>
  <c r="G145" i="13"/>
  <c r="E151" i="19"/>
  <c r="F151" i="19" s="1"/>
  <c r="H151" i="19" s="1"/>
  <c r="I150" i="19"/>
  <c r="J147" i="24"/>
  <c r="B150" i="28"/>
  <c r="G148" i="24"/>
  <c r="D149" i="24"/>
  <c r="G148" i="25"/>
  <c r="D149" i="25"/>
  <c r="J147" i="27"/>
  <c r="D149" i="21"/>
  <c r="G148" i="21"/>
  <c r="I152" i="23"/>
  <c r="I147" i="22"/>
  <c r="B152" i="3"/>
  <c r="B148" i="22"/>
  <c r="I151" i="3"/>
  <c r="E148" i="22"/>
  <c r="F148" i="22" s="1"/>
  <c r="H148" i="22" s="1"/>
  <c r="B145" i="20"/>
  <c r="F145" i="20"/>
  <c r="I144" i="20"/>
  <c r="H144" i="20"/>
  <c r="E153" i="23"/>
  <c r="F153" i="23" s="1"/>
  <c r="H153" i="23" s="1"/>
  <c r="E152" i="3"/>
  <c r="F152" i="3" s="1"/>
  <c r="H152" i="3" s="1"/>
  <c r="E149" i="27" l="1"/>
  <c r="F149" i="27" s="1"/>
  <c r="H149" i="27" s="1"/>
  <c r="E149" i="24"/>
  <c r="F149" i="24" s="1"/>
  <c r="H149" i="24" s="1"/>
  <c r="E149" i="21"/>
  <c r="F149" i="21" s="1"/>
  <c r="H149" i="21" s="1"/>
  <c r="E149" i="25"/>
  <c r="F149" i="25" s="1"/>
  <c r="H149" i="25" s="1"/>
  <c r="E145" i="38"/>
  <c r="F145" i="38" s="1"/>
  <c r="H145" i="38" s="1"/>
  <c r="E145" i="34"/>
  <c r="F145" i="34" s="1"/>
  <c r="H145" i="34" s="1"/>
  <c r="H68" i="24"/>
  <c r="E69" i="24"/>
  <c r="F69" i="24" s="1"/>
  <c r="B69" i="24"/>
  <c r="G68" i="24"/>
  <c r="J147" i="26"/>
  <c r="G148" i="26"/>
  <c r="D149" i="26"/>
  <c r="G65" i="26"/>
  <c r="I65" i="26" s="1"/>
  <c r="J150" i="18"/>
  <c r="D152" i="18"/>
  <c r="G151" i="18"/>
  <c r="I69" i="4"/>
  <c r="H66" i="23"/>
  <c r="I66" i="23" s="1"/>
  <c r="J147" i="22"/>
  <c r="J152" i="23"/>
  <c r="H63" i="29"/>
  <c r="I63" i="29" s="1"/>
  <c r="G62" i="35"/>
  <c r="I62" i="35" s="1"/>
  <c r="D65" i="13"/>
  <c r="G64" i="13"/>
  <c r="H64" i="13"/>
  <c r="D63" i="31"/>
  <c r="E63" i="31" s="1"/>
  <c r="H62" i="31"/>
  <c r="G62" i="31"/>
  <c r="D67" i="27"/>
  <c r="E67" i="27" s="1"/>
  <c r="G145" i="35"/>
  <c r="D146" i="35"/>
  <c r="D65" i="25"/>
  <c r="E65" i="25" s="1"/>
  <c r="D62" i="37"/>
  <c r="G64" i="25"/>
  <c r="D63" i="34"/>
  <c r="E63" i="34" s="1"/>
  <c r="B71" i="3"/>
  <c r="F71" i="3"/>
  <c r="H71" i="3" s="1"/>
  <c r="H61" i="37"/>
  <c r="G62" i="34"/>
  <c r="G61" i="37"/>
  <c r="I66" i="28"/>
  <c r="H62" i="34"/>
  <c r="D67" i="23"/>
  <c r="E67" i="23" s="1"/>
  <c r="B67" i="21"/>
  <c r="F67" i="21"/>
  <c r="G67" i="21" s="1"/>
  <c r="B69" i="19"/>
  <c r="F69" i="19"/>
  <c r="G69" i="19" s="1"/>
  <c r="D61" i="38"/>
  <c r="E61" i="38" s="1"/>
  <c r="D64" i="29"/>
  <c r="E64" i="29" s="1"/>
  <c r="I68" i="18"/>
  <c r="G60" i="38"/>
  <c r="G66" i="27"/>
  <c r="D63" i="35"/>
  <c r="E63" i="35" s="1"/>
  <c r="D66" i="26"/>
  <c r="E66" i="26" s="1"/>
  <c r="J151" i="3"/>
  <c r="J144" i="31"/>
  <c r="J151" i="4"/>
  <c r="H64" i="25"/>
  <c r="H60" i="38"/>
  <c r="H66" i="27"/>
  <c r="B66" i="22"/>
  <c r="F66" i="22"/>
  <c r="H66" i="22" s="1"/>
  <c r="B70" i="4"/>
  <c r="F70" i="4"/>
  <c r="G70" i="4" s="1"/>
  <c r="B69" i="18"/>
  <c r="F69" i="18"/>
  <c r="D145" i="37"/>
  <c r="G144" i="37"/>
  <c r="D153" i="4"/>
  <c r="G152" i="4"/>
  <c r="D146" i="31"/>
  <c r="G145" i="31"/>
  <c r="J150" i="19"/>
  <c r="D152" i="19"/>
  <c r="G151" i="19"/>
  <c r="B149" i="24"/>
  <c r="G150" i="29"/>
  <c r="D151" i="29"/>
  <c r="B145" i="38"/>
  <c r="I148" i="21"/>
  <c r="I148" i="24"/>
  <c r="H145" i="13"/>
  <c r="I145" i="13"/>
  <c r="B146" i="13"/>
  <c r="B149" i="27"/>
  <c r="B149" i="21"/>
  <c r="E146" i="13"/>
  <c r="F146" i="13" s="1"/>
  <c r="I148" i="27"/>
  <c r="B149" i="25"/>
  <c r="B145" i="34"/>
  <c r="I148" i="25"/>
  <c r="J149" i="28"/>
  <c r="I144" i="38"/>
  <c r="I144" i="34"/>
  <c r="D149" i="22"/>
  <c r="G148" i="22"/>
  <c r="D154" i="23"/>
  <c r="G153" i="23"/>
  <c r="J144" i="20"/>
  <c r="G152" i="3"/>
  <c r="D153" i="3"/>
  <c r="D146" i="20"/>
  <c r="E146" i="20" s="1"/>
  <c r="G145" i="20"/>
  <c r="E152" i="19" l="1"/>
  <c r="F152" i="19" s="1"/>
  <c r="H152" i="19" s="1"/>
  <c r="E153" i="3"/>
  <c r="F153" i="3" s="1"/>
  <c r="H153" i="3" s="1"/>
  <c r="E151" i="29"/>
  <c r="F151" i="29" s="1"/>
  <c r="H151" i="29" s="1"/>
  <c r="I68" i="24"/>
  <c r="G69" i="24"/>
  <c r="H69" i="24"/>
  <c r="D70" i="24"/>
  <c r="E149" i="26"/>
  <c r="F149" i="26" s="1"/>
  <c r="H149" i="26" s="1"/>
  <c r="B149" i="26"/>
  <c r="I148" i="26"/>
  <c r="I151" i="18"/>
  <c r="E152" i="18"/>
  <c r="F152" i="18" s="1"/>
  <c r="H152" i="18" s="1"/>
  <c r="B152" i="18"/>
  <c r="H70" i="4"/>
  <c r="I70" i="4" s="1"/>
  <c r="I64" i="25"/>
  <c r="I60" i="38"/>
  <c r="I62" i="31"/>
  <c r="G71" i="3"/>
  <c r="I71" i="3" s="1"/>
  <c r="I64" i="13"/>
  <c r="B62" i="37"/>
  <c r="F63" i="35"/>
  <c r="B63" i="35"/>
  <c r="H67" i="21"/>
  <c r="I67" i="21" s="1"/>
  <c r="F64" i="29"/>
  <c r="G64" i="29" s="1"/>
  <c r="D70" i="18"/>
  <c r="E70" i="18" s="1"/>
  <c r="D68" i="21"/>
  <c r="E68" i="21" s="1"/>
  <c r="B63" i="34"/>
  <c r="F63" i="34"/>
  <c r="H63" i="34" s="1"/>
  <c r="F65" i="25"/>
  <c r="H65" i="25" s="1"/>
  <c r="B65" i="25"/>
  <c r="F63" i="31"/>
  <c r="H63" i="31" s="1"/>
  <c r="B63" i="31"/>
  <c r="G69" i="18"/>
  <c r="D67" i="22"/>
  <c r="E67" i="22" s="1"/>
  <c r="F61" i="38"/>
  <c r="G61" i="38" s="1"/>
  <c r="B61" i="38"/>
  <c r="I61" i="37"/>
  <c r="E146" i="35"/>
  <c r="F146" i="35" s="1"/>
  <c r="H146" i="35" s="1"/>
  <c r="B146" i="35"/>
  <c r="G66" i="22"/>
  <c r="I66" i="22" s="1"/>
  <c r="D70" i="19"/>
  <c r="E70" i="19" s="1"/>
  <c r="B67" i="28"/>
  <c r="I145" i="35"/>
  <c r="H69" i="18"/>
  <c r="B66" i="26"/>
  <c r="F66" i="26"/>
  <c r="H66" i="26" s="1"/>
  <c r="F67" i="23"/>
  <c r="H67" i="23" s="1"/>
  <c r="B67" i="23"/>
  <c r="D72" i="3"/>
  <c r="E72" i="3" s="1"/>
  <c r="B65" i="13"/>
  <c r="D71" i="4"/>
  <c r="E71" i="4" s="1"/>
  <c r="I66" i="27"/>
  <c r="H69" i="19"/>
  <c r="I69" i="19" s="1"/>
  <c r="I62" i="34"/>
  <c r="E62" i="37"/>
  <c r="F62" i="37" s="1"/>
  <c r="F67" i="27"/>
  <c r="H67" i="27" s="1"/>
  <c r="B67" i="27"/>
  <c r="E65" i="13"/>
  <c r="F65" i="13" s="1"/>
  <c r="I152" i="4"/>
  <c r="B153" i="4"/>
  <c r="E153" i="4"/>
  <c r="F153" i="4" s="1"/>
  <c r="H153" i="4" s="1"/>
  <c r="I144" i="37"/>
  <c r="J148" i="24"/>
  <c r="E145" i="37"/>
  <c r="F145" i="37" s="1"/>
  <c r="H145" i="37" s="1"/>
  <c r="B145" i="37"/>
  <c r="I145" i="31"/>
  <c r="E146" i="31"/>
  <c r="F146" i="31" s="1"/>
  <c r="H146" i="31" s="1"/>
  <c r="B146" i="31"/>
  <c r="G146" i="13"/>
  <c r="D147" i="13"/>
  <c r="E147" i="13" s="1"/>
  <c r="G149" i="25"/>
  <c r="D150" i="25"/>
  <c r="D150" i="21"/>
  <c r="G149" i="21"/>
  <c r="I151" i="19"/>
  <c r="J148" i="27"/>
  <c r="D150" i="27"/>
  <c r="G149" i="27"/>
  <c r="G145" i="38"/>
  <c r="D146" i="38"/>
  <c r="D150" i="24"/>
  <c r="G149" i="24"/>
  <c r="G145" i="34"/>
  <c r="D146" i="34"/>
  <c r="B152" i="19"/>
  <c r="B151" i="28"/>
  <c r="J148" i="21"/>
  <c r="I150" i="29"/>
  <c r="I152" i="3"/>
  <c r="I148" i="22"/>
  <c r="B153" i="3"/>
  <c r="E154" i="23"/>
  <c r="F154" i="23" s="1"/>
  <c r="H154" i="23" s="1"/>
  <c r="B149" i="22"/>
  <c r="I153" i="23"/>
  <c r="I145" i="20"/>
  <c r="H145" i="20"/>
  <c r="F146" i="20"/>
  <c r="B146" i="20"/>
  <c r="E149" i="22"/>
  <c r="F149" i="22" s="1"/>
  <c r="H149" i="22" s="1"/>
  <c r="E150" i="24" l="1"/>
  <c r="F150" i="24" s="1"/>
  <c r="H150" i="24" s="1"/>
  <c r="E150" i="27"/>
  <c r="F150" i="27" s="1"/>
  <c r="H150" i="27" s="1"/>
  <c r="E146" i="34"/>
  <c r="F146" i="34" s="1"/>
  <c r="H146" i="34" s="1"/>
  <c r="I69" i="24"/>
  <c r="E70" i="24"/>
  <c r="F70" i="24" s="1"/>
  <c r="B70" i="24"/>
  <c r="D150" i="26"/>
  <c r="G149" i="26"/>
  <c r="J148" i="26"/>
  <c r="I69" i="18"/>
  <c r="J145" i="31"/>
  <c r="D153" i="18"/>
  <c r="G152" i="18"/>
  <c r="J151" i="18"/>
  <c r="H61" i="38"/>
  <c r="I61" i="38" s="1"/>
  <c r="G67" i="27"/>
  <c r="I67" i="27" s="1"/>
  <c r="I67" i="28"/>
  <c r="G66" i="26"/>
  <c r="I66" i="26" s="1"/>
  <c r="G63" i="34"/>
  <c r="I63" i="34" s="1"/>
  <c r="G65" i="25"/>
  <c r="I65" i="25" s="1"/>
  <c r="D66" i="13"/>
  <c r="E66" i="13" s="1"/>
  <c r="H65" i="13"/>
  <c r="G65" i="13"/>
  <c r="D63" i="37"/>
  <c r="E63" i="37" s="1"/>
  <c r="H62" i="37"/>
  <c r="G62" i="37"/>
  <c r="B72" i="3"/>
  <c r="F72" i="3"/>
  <c r="H72" i="3" s="1"/>
  <c r="D62" i="38"/>
  <c r="E62" i="38" s="1"/>
  <c r="D64" i="31"/>
  <c r="D65" i="29"/>
  <c r="E65" i="29" s="1"/>
  <c r="F70" i="19"/>
  <c r="H70" i="19" s="1"/>
  <c r="B70" i="19"/>
  <c r="F71" i="4"/>
  <c r="H71" i="4" s="1"/>
  <c r="B71" i="4"/>
  <c r="B68" i="21"/>
  <c r="F68" i="21"/>
  <c r="D68" i="23"/>
  <c r="B67" i="22"/>
  <c r="F67" i="22"/>
  <c r="H67" i="22" s="1"/>
  <c r="D64" i="35"/>
  <c r="D68" i="27"/>
  <c r="E68" i="27" s="1"/>
  <c r="G67" i="23"/>
  <c r="I67" i="23" s="1"/>
  <c r="D147" i="35"/>
  <c r="G146" i="35"/>
  <c r="D66" i="25"/>
  <c r="E66" i="25" s="1"/>
  <c r="H63" i="35"/>
  <c r="G63" i="31"/>
  <c r="I63" i="31" s="1"/>
  <c r="B70" i="18"/>
  <c r="F70" i="18"/>
  <c r="G63" i="35"/>
  <c r="J152" i="4"/>
  <c r="D67" i="26"/>
  <c r="E67" i="26" s="1"/>
  <c r="D64" i="34"/>
  <c r="H64" i="29"/>
  <c r="I64" i="29" s="1"/>
  <c r="G145" i="37"/>
  <c r="D146" i="37"/>
  <c r="G153" i="4"/>
  <c r="D154" i="4"/>
  <c r="J152" i="3"/>
  <c r="D147" i="31"/>
  <c r="G146" i="31"/>
  <c r="J151" i="19"/>
  <c r="G151" i="29"/>
  <c r="D152" i="29"/>
  <c r="B146" i="38"/>
  <c r="I149" i="21"/>
  <c r="I145" i="38"/>
  <c r="B150" i="21"/>
  <c r="B150" i="25"/>
  <c r="I145" i="34"/>
  <c r="I149" i="25"/>
  <c r="B146" i="34"/>
  <c r="I149" i="27"/>
  <c r="E150" i="25"/>
  <c r="F150" i="25" s="1"/>
  <c r="H150" i="25" s="1"/>
  <c r="J150" i="28"/>
  <c r="I149" i="24"/>
  <c r="B150" i="27"/>
  <c r="F147" i="13"/>
  <c r="B147" i="13"/>
  <c r="B150" i="24"/>
  <c r="G152" i="19"/>
  <c r="D153" i="19"/>
  <c r="E146" i="38"/>
  <c r="F146" i="38" s="1"/>
  <c r="H146" i="38" s="1"/>
  <c r="E150" i="21"/>
  <c r="F150" i="21" s="1"/>
  <c r="H150" i="21" s="1"/>
  <c r="H146" i="13"/>
  <c r="I146" i="13"/>
  <c r="D155" i="23"/>
  <c r="G154" i="23"/>
  <c r="D150" i="22"/>
  <c r="G149" i="22"/>
  <c r="G146" i="20"/>
  <c r="D147" i="20"/>
  <c r="J145" i="20"/>
  <c r="G153" i="3"/>
  <c r="D154" i="3"/>
  <c r="J153" i="23"/>
  <c r="J148" i="22"/>
  <c r="E150" i="22" l="1"/>
  <c r="F150" i="22" s="1"/>
  <c r="H150" i="22" s="1"/>
  <c r="E152" i="29"/>
  <c r="F152" i="29" s="1"/>
  <c r="H152" i="29" s="1"/>
  <c r="D71" i="24"/>
  <c r="H70" i="24"/>
  <c r="G70" i="24"/>
  <c r="I149" i="26"/>
  <c r="E150" i="26"/>
  <c r="F150" i="26" s="1"/>
  <c r="H150" i="26" s="1"/>
  <c r="B150" i="26"/>
  <c r="I152" i="18"/>
  <c r="E153" i="18"/>
  <c r="F153" i="18" s="1"/>
  <c r="H153" i="18" s="1"/>
  <c r="B153" i="18"/>
  <c r="G70" i="19"/>
  <c r="I70" i="19" s="1"/>
  <c r="G71" i="4"/>
  <c r="I71" i="4" s="1"/>
  <c r="I62" i="37"/>
  <c r="B64" i="34"/>
  <c r="D71" i="18"/>
  <c r="E71" i="18" s="1"/>
  <c r="B64" i="35"/>
  <c r="D69" i="21"/>
  <c r="E69" i="21" s="1"/>
  <c r="B64" i="31"/>
  <c r="F66" i="25"/>
  <c r="H66" i="25" s="1"/>
  <c r="B66" i="25"/>
  <c r="B68" i="28"/>
  <c r="G70" i="18"/>
  <c r="I146" i="35"/>
  <c r="D68" i="22"/>
  <c r="E68" i="22" s="1"/>
  <c r="H68" i="21"/>
  <c r="B62" i="38"/>
  <c r="F62" i="38"/>
  <c r="G62" i="38" s="1"/>
  <c r="F63" i="37"/>
  <c r="G63" i="37" s="1"/>
  <c r="B63" i="37"/>
  <c r="E147" i="35"/>
  <c r="F147" i="35" s="1"/>
  <c r="H147" i="35" s="1"/>
  <c r="B147" i="35"/>
  <c r="G67" i="22"/>
  <c r="I67" i="22" s="1"/>
  <c r="D71" i="19"/>
  <c r="E71" i="19" s="1"/>
  <c r="B67" i="26"/>
  <c r="F67" i="26"/>
  <c r="G67" i="26" s="1"/>
  <c r="D73" i="3"/>
  <c r="E73" i="3" s="1"/>
  <c r="E74" i="3" s="1"/>
  <c r="B68" i="23"/>
  <c r="G72" i="3"/>
  <c r="I72" i="3" s="1"/>
  <c r="I65" i="13"/>
  <c r="F68" i="27"/>
  <c r="G68" i="27" s="1"/>
  <c r="B68" i="27"/>
  <c r="E68" i="23"/>
  <c r="F68" i="23" s="1"/>
  <c r="D72" i="4"/>
  <c r="E72" i="4" s="1"/>
  <c r="F65" i="29"/>
  <c r="H65" i="29" s="1"/>
  <c r="E64" i="34"/>
  <c r="F64" i="34" s="1"/>
  <c r="H70" i="18"/>
  <c r="I63" i="35"/>
  <c r="E64" i="35"/>
  <c r="F64" i="35" s="1"/>
  <c r="G68" i="21"/>
  <c r="E64" i="31"/>
  <c r="F64" i="31" s="1"/>
  <c r="B66" i="13"/>
  <c r="F66" i="13"/>
  <c r="H66" i="13" s="1"/>
  <c r="I153" i="4"/>
  <c r="E146" i="37"/>
  <c r="F146" i="37" s="1"/>
  <c r="H146" i="37" s="1"/>
  <c r="B146" i="37"/>
  <c r="B154" i="4"/>
  <c r="E154" i="4"/>
  <c r="F154" i="4" s="1"/>
  <c r="H154" i="4" s="1"/>
  <c r="I145" i="37"/>
  <c r="I146" i="31"/>
  <c r="B147" i="31"/>
  <c r="E147" i="31"/>
  <c r="F147" i="31" s="1"/>
  <c r="H147" i="31" s="1"/>
  <c r="G150" i="25"/>
  <c r="D151" i="25"/>
  <c r="D151" i="21"/>
  <c r="G150" i="21"/>
  <c r="D147" i="38"/>
  <c r="G146" i="38"/>
  <c r="G150" i="24"/>
  <c r="D151" i="24"/>
  <c r="D148" i="13"/>
  <c r="E148" i="13" s="1"/>
  <c r="G147" i="13"/>
  <c r="B153" i="19"/>
  <c r="J149" i="27"/>
  <c r="B152" i="28"/>
  <c r="I151" i="29"/>
  <c r="I152" i="19"/>
  <c r="G150" i="27"/>
  <c r="D151" i="27"/>
  <c r="E153" i="19"/>
  <c r="F153" i="19" s="1"/>
  <c r="H153" i="19" s="1"/>
  <c r="G146" i="34"/>
  <c r="D147" i="34"/>
  <c r="J149" i="24"/>
  <c r="J149" i="21"/>
  <c r="B154" i="3"/>
  <c r="I154" i="23"/>
  <c r="E155" i="23"/>
  <c r="E156" i="23" s="1"/>
  <c r="B147" i="20"/>
  <c r="E147" i="20"/>
  <c r="F147" i="20" s="1"/>
  <c r="E154" i="3"/>
  <c r="F154" i="3" s="1"/>
  <c r="H154" i="3" s="1"/>
  <c r="B150" i="22"/>
  <c r="I153" i="3"/>
  <c r="I146" i="20"/>
  <c r="H146" i="20"/>
  <c r="I149" i="22"/>
  <c r="E151" i="27" l="1"/>
  <c r="F151" i="27" s="1"/>
  <c r="H151" i="27" s="1"/>
  <c r="E151" i="21"/>
  <c r="F151" i="21" s="1"/>
  <c r="H151" i="21" s="1"/>
  <c r="E151" i="24"/>
  <c r="F151" i="24" s="1"/>
  <c r="H151" i="24" s="1"/>
  <c r="E147" i="38"/>
  <c r="F147" i="38" s="1"/>
  <c r="H147" i="38" s="1"/>
  <c r="E147" i="34"/>
  <c r="F147" i="34" s="1"/>
  <c r="H147" i="34" s="1"/>
  <c r="I70" i="24"/>
  <c r="J149" i="26"/>
  <c r="E71" i="24"/>
  <c r="F71" i="24" s="1"/>
  <c r="B71" i="24"/>
  <c r="G150" i="26"/>
  <c r="D151" i="26"/>
  <c r="G153" i="18"/>
  <c r="D154" i="18"/>
  <c r="J146" i="31"/>
  <c r="J152" i="18"/>
  <c r="G66" i="25"/>
  <c r="I66" i="25" s="1"/>
  <c r="H67" i="26"/>
  <c r="I67" i="26" s="1"/>
  <c r="J153" i="4"/>
  <c r="D69" i="23"/>
  <c r="E69" i="23" s="1"/>
  <c r="G68" i="23"/>
  <c r="H68" i="23"/>
  <c r="D65" i="31"/>
  <c r="E65" i="31" s="1"/>
  <c r="G64" i="31"/>
  <c r="H64" i="31"/>
  <c r="D65" i="35"/>
  <c r="E65" i="35" s="1"/>
  <c r="H64" i="35"/>
  <c r="G64" i="35"/>
  <c r="D65" i="34"/>
  <c r="E65" i="34" s="1"/>
  <c r="H64" i="34"/>
  <c r="G64" i="34"/>
  <c r="I68" i="21"/>
  <c r="D67" i="13"/>
  <c r="E67" i="13" s="1"/>
  <c r="D66" i="29"/>
  <c r="E66" i="29" s="1"/>
  <c r="D69" i="27"/>
  <c r="E69" i="27" s="1"/>
  <c r="D64" i="37"/>
  <c r="E64" i="37" s="1"/>
  <c r="F68" i="22"/>
  <c r="H68" i="22" s="1"/>
  <c r="B68" i="22"/>
  <c r="B71" i="18"/>
  <c r="F71" i="18"/>
  <c r="H71" i="18" s="1"/>
  <c r="G65" i="29"/>
  <c r="I65" i="29" s="1"/>
  <c r="B71" i="19"/>
  <c r="F71" i="19"/>
  <c r="H71" i="19" s="1"/>
  <c r="H63" i="37"/>
  <c r="I63" i="37" s="1"/>
  <c r="F73" i="3"/>
  <c r="H73" i="3" s="1"/>
  <c r="B73" i="3"/>
  <c r="F69" i="21"/>
  <c r="G69" i="21" s="1"/>
  <c r="B69" i="21"/>
  <c r="B72" i="4"/>
  <c r="F72" i="4"/>
  <c r="D63" i="38"/>
  <c r="E63" i="38" s="1"/>
  <c r="G147" i="35"/>
  <c r="D148" i="35"/>
  <c r="D67" i="25"/>
  <c r="E67" i="25" s="1"/>
  <c r="G66" i="13"/>
  <c r="I66" i="13" s="1"/>
  <c r="I70" i="18"/>
  <c r="H68" i="27"/>
  <c r="I68" i="27" s="1"/>
  <c r="D68" i="26"/>
  <c r="E68" i="26" s="1"/>
  <c r="H62" i="38"/>
  <c r="I62" i="38" s="1"/>
  <c r="I68" i="28"/>
  <c r="D155" i="4"/>
  <c r="G154" i="4"/>
  <c r="G146" i="37"/>
  <c r="D147" i="37"/>
  <c r="J152" i="19"/>
  <c r="G147" i="31"/>
  <c r="D148" i="31"/>
  <c r="J153" i="3"/>
  <c r="G153" i="19"/>
  <c r="D154" i="19"/>
  <c r="J151" i="28"/>
  <c r="B147" i="38"/>
  <c r="H147" i="13"/>
  <c r="I147" i="13"/>
  <c r="G152" i="29"/>
  <c r="D153" i="29"/>
  <c r="B151" i="27"/>
  <c r="B148" i="13"/>
  <c r="F148" i="13"/>
  <c r="I150" i="21"/>
  <c r="I150" i="27"/>
  <c r="B151" i="21"/>
  <c r="B151" i="24"/>
  <c r="B151" i="25"/>
  <c r="I146" i="34"/>
  <c r="I150" i="24"/>
  <c r="I150" i="25"/>
  <c r="B147" i="34"/>
  <c r="I146" i="38"/>
  <c r="E151" i="25"/>
  <c r="F151" i="25" s="1"/>
  <c r="H151" i="25" s="1"/>
  <c r="J154" i="23"/>
  <c r="D155" i="3"/>
  <c r="G154" i="3"/>
  <c r="G150" i="22"/>
  <c r="D151" i="22"/>
  <c r="G147" i="20"/>
  <c r="D148" i="20"/>
  <c r="J146" i="20"/>
  <c r="J149" i="22"/>
  <c r="F155" i="23"/>
  <c r="B151" i="26" l="1"/>
  <c r="B154" i="18"/>
  <c r="G155" i="23"/>
  <c r="I155" i="23" s="1"/>
  <c r="H155" i="23"/>
  <c r="H156" i="23" s="1"/>
  <c r="G71" i="24"/>
  <c r="H71" i="24"/>
  <c r="D72" i="24"/>
  <c r="E154" i="18"/>
  <c r="F154" i="18" s="1"/>
  <c r="G154" i="18" s="1"/>
  <c r="E151" i="26"/>
  <c r="F151" i="26" s="1"/>
  <c r="H151" i="26" s="1"/>
  <c r="I150" i="26"/>
  <c r="J150" i="27"/>
  <c r="I153" i="18"/>
  <c r="I64" i="34"/>
  <c r="G71" i="18"/>
  <c r="I71" i="18" s="1"/>
  <c r="I68" i="23"/>
  <c r="H74" i="3"/>
  <c r="B69" i="28"/>
  <c r="D73" i="4"/>
  <c r="G73" i="3"/>
  <c r="G74" i="3" s="1"/>
  <c r="D72" i="18"/>
  <c r="E72" i="18" s="1"/>
  <c r="B148" i="35"/>
  <c r="E148" i="35"/>
  <c r="F148" i="35" s="1"/>
  <c r="H148" i="35" s="1"/>
  <c r="B64" i="37"/>
  <c r="F64" i="37"/>
  <c r="F66" i="29"/>
  <c r="I147" i="35"/>
  <c r="B65" i="34"/>
  <c r="F65" i="34"/>
  <c r="G65" i="34" s="1"/>
  <c r="B65" i="31"/>
  <c r="F65" i="31"/>
  <c r="G65" i="31" s="1"/>
  <c r="J150" i="21"/>
  <c r="D72" i="19"/>
  <c r="E72" i="19" s="1"/>
  <c r="B68" i="26"/>
  <c r="F68" i="26"/>
  <c r="G68" i="26" s="1"/>
  <c r="D70" i="21"/>
  <c r="E70" i="21" s="1"/>
  <c r="B67" i="13"/>
  <c r="F67" i="13"/>
  <c r="G67" i="13" s="1"/>
  <c r="I64" i="35"/>
  <c r="B63" i="38"/>
  <c r="F63" i="38"/>
  <c r="G63" i="38" s="1"/>
  <c r="H69" i="21"/>
  <c r="I69" i="21" s="1"/>
  <c r="B67" i="25"/>
  <c r="F67" i="25"/>
  <c r="H67" i="25" s="1"/>
  <c r="G72" i="4"/>
  <c r="G71" i="19"/>
  <c r="I71" i="19" s="1"/>
  <c r="D69" i="22"/>
  <c r="E69" i="22" s="1"/>
  <c r="B65" i="35"/>
  <c r="F65" i="35"/>
  <c r="H65" i="35" s="1"/>
  <c r="B69" i="23"/>
  <c r="F69" i="23"/>
  <c r="G69" i="23" s="1"/>
  <c r="H72" i="4"/>
  <c r="G68" i="22"/>
  <c r="I68" i="22" s="1"/>
  <c r="F69" i="27"/>
  <c r="H69" i="27" s="1"/>
  <c r="B69" i="27"/>
  <c r="I64" i="31"/>
  <c r="E147" i="37"/>
  <c r="F147" i="37" s="1"/>
  <c r="H147" i="37" s="1"/>
  <c r="B147" i="37"/>
  <c r="I146" i="37"/>
  <c r="I154" i="4"/>
  <c r="E155" i="4"/>
  <c r="E156" i="4" s="1"/>
  <c r="B155" i="4"/>
  <c r="E148" i="31"/>
  <c r="F148" i="31" s="1"/>
  <c r="H148" i="31" s="1"/>
  <c r="B148" i="31"/>
  <c r="J150" i="24"/>
  <c r="I147" i="31"/>
  <c r="G151" i="25"/>
  <c r="D152" i="25"/>
  <c r="B153" i="28"/>
  <c r="D152" i="24"/>
  <c r="G151" i="24"/>
  <c r="G151" i="27"/>
  <c r="D152" i="27"/>
  <c r="G147" i="38"/>
  <c r="D148" i="38"/>
  <c r="B154" i="19"/>
  <c r="I152" i="29"/>
  <c r="D152" i="21"/>
  <c r="G151" i="21"/>
  <c r="I153" i="19"/>
  <c r="G148" i="13"/>
  <c r="D149" i="13"/>
  <c r="D148" i="34"/>
  <c r="G147" i="34"/>
  <c r="E153" i="29"/>
  <c r="F153" i="29" s="1"/>
  <c r="H153" i="29" s="1"/>
  <c r="E154" i="19"/>
  <c r="F154" i="19" s="1"/>
  <c r="H154" i="19" s="1"/>
  <c r="B155" i="3"/>
  <c r="E155" i="3"/>
  <c r="E156" i="3" s="1"/>
  <c r="B151" i="22"/>
  <c r="B148" i="20"/>
  <c r="H147" i="20"/>
  <c r="I147" i="20"/>
  <c r="I150" i="22"/>
  <c r="E148" i="20"/>
  <c r="F148" i="20" s="1"/>
  <c r="E151" i="22"/>
  <c r="F151" i="22" s="1"/>
  <c r="H151" i="22" s="1"/>
  <c r="I154" i="3"/>
  <c r="E152" i="27" l="1"/>
  <c r="F152" i="27" s="1"/>
  <c r="H152" i="27" s="1"/>
  <c r="E152" i="24"/>
  <c r="F152" i="24" s="1"/>
  <c r="H152" i="24" s="1"/>
  <c r="E152" i="25"/>
  <c r="F152" i="25" s="1"/>
  <c r="H152" i="25" s="1"/>
  <c r="H154" i="18"/>
  <c r="E148" i="38"/>
  <c r="F148" i="38" s="1"/>
  <c r="H148" i="38" s="1"/>
  <c r="I71" i="24"/>
  <c r="J153" i="18"/>
  <c r="H65" i="34"/>
  <c r="I65" i="34" s="1"/>
  <c r="H65" i="31"/>
  <c r="I65" i="31" s="1"/>
  <c r="J147" i="31"/>
  <c r="D155" i="18"/>
  <c r="I154" i="18"/>
  <c r="E72" i="24"/>
  <c r="F72" i="24" s="1"/>
  <c r="B72" i="24"/>
  <c r="J150" i="26"/>
  <c r="D152" i="26"/>
  <c r="G151" i="26"/>
  <c r="G69" i="27"/>
  <c r="I69" i="27" s="1"/>
  <c r="J150" i="22"/>
  <c r="H63" i="38"/>
  <c r="I63" i="38" s="1"/>
  <c r="G67" i="25"/>
  <c r="I67" i="25" s="1"/>
  <c r="H69" i="23"/>
  <c r="I69" i="23" s="1"/>
  <c r="D68" i="13"/>
  <c r="E68" i="13" s="1"/>
  <c r="D69" i="26"/>
  <c r="E69" i="26" s="1"/>
  <c r="B69" i="22"/>
  <c r="F69" i="22"/>
  <c r="G69" i="22" s="1"/>
  <c r="H67" i="13"/>
  <c r="I67" i="13" s="1"/>
  <c r="H68" i="26"/>
  <c r="I68" i="26" s="1"/>
  <c r="D149" i="35"/>
  <c r="G148" i="35"/>
  <c r="B73" i="4"/>
  <c r="D70" i="23"/>
  <c r="E70" i="23" s="1"/>
  <c r="D67" i="29"/>
  <c r="E67" i="29" s="1"/>
  <c r="D70" i="27"/>
  <c r="E70" i="27" s="1"/>
  <c r="D64" i="38"/>
  <c r="E64" i="38" s="1"/>
  <c r="G66" i="29"/>
  <c r="D66" i="35"/>
  <c r="B72" i="19"/>
  <c r="F72" i="19"/>
  <c r="G72" i="19" s="1"/>
  <c r="D66" i="34"/>
  <c r="E66" i="34" s="1"/>
  <c r="H66" i="29"/>
  <c r="F72" i="18"/>
  <c r="H72" i="18" s="1"/>
  <c r="B72" i="18"/>
  <c r="D65" i="37"/>
  <c r="E65" i="37" s="1"/>
  <c r="G64" i="37"/>
  <c r="I73" i="3"/>
  <c r="I74" i="3" s="1"/>
  <c r="I72" i="4"/>
  <c r="G65" i="35"/>
  <c r="I65" i="35" s="1"/>
  <c r="D68" i="25"/>
  <c r="E68" i="25" s="1"/>
  <c r="F70" i="21"/>
  <c r="H70" i="21" s="1"/>
  <c r="B70" i="21"/>
  <c r="D66" i="31"/>
  <c r="E66" i="31" s="1"/>
  <c r="H64" i="37"/>
  <c r="E73" i="4"/>
  <c r="E74" i="4" s="1"/>
  <c r="J154" i="4"/>
  <c r="F155" i="4"/>
  <c r="D148" i="37"/>
  <c r="G147" i="37"/>
  <c r="G148" i="31"/>
  <c r="D149" i="31"/>
  <c r="J153" i="19"/>
  <c r="G154" i="19"/>
  <c r="D155" i="19"/>
  <c r="G153" i="29"/>
  <c r="D154" i="29"/>
  <c r="B152" i="21"/>
  <c r="B149" i="13"/>
  <c r="B152" i="24"/>
  <c r="B148" i="34"/>
  <c r="H148" i="13"/>
  <c r="I148" i="13"/>
  <c r="J152" i="28"/>
  <c r="I147" i="34"/>
  <c r="E149" i="13"/>
  <c r="F149" i="13" s="1"/>
  <c r="B152" i="27"/>
  <c r="B148" i="38"/>
  <c r="I147" i="38"/>
  <c r="I151" i="27"/>
  <c r="B152" i="25"/>
  <c r="I151" i="21"/>
  <c r="I151" i="24"/>
  <c r="E148" i="34"/>
  <c r="F148" i="34" s="1"/>
  <c r="H148" i="34" s="1"/>
  <c r="E152" i="21"/>
  <c r="F152" i="21" s="1"/>
  <c r="H152" i="21" s="1"/>
  <c r="I151" i="25"/>
  <c r="G151" i="22"/>
  <c r="D152" i="22"/>
  <c r="J155" i="23"/>
  <c r="J156" i="23" s="1"/>
  <c r="I156" i="23"/>
  <c r="J154" i="3"/>
  <c r="D149" i="20"/>
  <c r="G148" i="20"/>
  <c r="J147" i="20"/>
  <c r="F155" i="3"/>
  <c r="G155" i="3" s="1"/>
  <c r="J154" i="18" l="1"/>
  <c r="E155" i="19"/>
  <c r="E156" i="19" s="1"/>
  <c r="G155" i="4"/>
  <c r="I155" i="4" s="1"/>
  <c r="H155" i="4"/>
  <c r="H156" i="4" s="1"/>
  <c r="B155" i="18"/>
  <c r="E155" i="18"/>
  <c r="E156" i="18" s="1"/>
  <c r="D73" i="24"/>
  <c r="B73" i="24" s="1"/>
  <c r="H72" i="24"/>
  <c r="G72" i="24"/>
  <c r="I151" i="26"/>
  <c r="E152" i="26"/>
  <c r="F152" i="26" s="1"/>
  <c r="H152" i="26" s="1"/>
  <c r="B152" i="26"/>
  <c r="G72" i="18"/>
  <c r="I72" i="18" s="1"/>
  <c r="G70" i="21"/>
  <c r="I70" i="21" s="1"/>
  <c r="I66" i="29"/>
  <c r="B66" i="35"/>
  <c r="D71" i="21"/>
  <c r="E71" i="21" s="1"/>
  <c r="F73" i="4"/>
  <c r="D70" i="22"/>
  <c r="B66" i="34"/>
  <c r="F66" i="34"/>
  <c r="H66" i="34" s="1"/>
  <c r="F67" i="29"/>
  <c r="I148" i="35"/>
  <c r="I64" i="37"/>
  <c r="F65" i="37"/>
  <c r="H65" i="37" s="1"/>
  <c r="B65" i="37"/>
  <c r="H72" i="19"/>
  <c r="I72" i="19" s="1"/>
  <c r="E149" i="35"/>
  <c r="F149" i="35" s="1"/>
  <c r="H149" i="35" s="1"/>
  <c r="B149" i="35"/>
  <c r="B68" i="25"/>
  <c r="F68" i="25"/>
  <c r="G68" i="25" s="1"/>
  <c r="D73" i="19"/>
  <c r="E73" i="19" s="1"/>
  <c r="E74" i="19" s="1"/>
  <c r="B64" i="38"/>
  <c r="F64" i="38"/>
  <c r="G64" i="38" s="1"/>
  <c r="F70" i="23"/>
  <c r="H70" i="23" s="1"/>
  <c r="B70" i="23"/>
  <c r="F69" i="26"/>
  <c r="H69" i="26" s="1"/>
  <c r="B69" i="26"/>
  <c r="I69" i="28"/>
  <c r="F66" i="31"/>
  <c r="G66" i="31" s="1"/>
  <c r="B66" i="31"/>
  <c r="D73" i="18"/>
  <c r="E73" i="18" s="1"/>
  <c r="E74" i="18" s="1"/>
  <c r="E66" i="35"/>
  <c r="F66" i="35" s="1"/>
  <c r="B70" i="27"/>
  <c r="F70" i="27"/>
  <c r="G70" i="27" s="1"/>
  <c r="H69" i="22"/>
  <c r="I69" i="22" s="1"/>
  <c r="B68" i="13"/>
  <c r="F68" i="13"/>
  <c r="H68" i="13" s="1"/>
  <c r="B70" i="28"/>
  <c r="I147" i="37"/>
  <c r="E148" i="37"/>
  <c r="F148" i="37" s="1"/>
  <c r="H148" i="37" s="1"/>
  <c r="B148" i="37"/>
  <c r="J151" i="24"/>
  <c r="J151" i="21"/>
  <c r="E149" i="31"/>
  <c r="F149" i="31" s="1"/>
  <c r="H149" i="31" s="1"/>
  <c r="B149" i="31"/>
  <c r="I148" i="31"/>
  <c r="J151" i="27"/>
  <c r="G149" i="13"/>
  <c r="D150" i="13"/>
  <c r="D149" i="34"/>
  <c r="G148" i="34"/>
  <c r="G152" i="25"/>
  <c r="D153" i="25"/>
  <c r="G152" i="24"/>
  <c r="D153" i="24"/>
  <c r="I153" i="29"/>
  <c r="B155" i="19"/>
  <c r="B154" i="28"/>
  <c r="D153" i="27"/>
  <c r="G152" i="27"/>
  <c r="I154" i="19"/>
  <c r="G152" i="21"/>
  <c r="D153" i="21"/>
  <c r="D149" i="38"/>
  <c r="G148" i="38"/>
  <c r="E154" i="29"/>
  <c r="F154" i="29" s="1"/>
  <c r="H154" i="29" s="1"/>
  <c r="H148" i="20"/>
  <c r="I148" i="20"/>
  <c r="B152" i="22"/>
  <c r="I151" i="22"/>
  <c r="B149" i="20"/>
  <c r="H155" i="3"/>
  <c r="H156" i="3" s="1"/>
  <c r="I155" i="3"/>
  <c r="E149" i="20"/>
  <c r="F149" i="20" s="1"/>
  <c r="E152" i="22"/>
  <c r="F152" i="22" s="1"/>
  <c r="H152" i="22" s="1"/>
  <c r="F155" i="19" l="1"/>
  <c r="G155" i="19" s="1"/>
  <c r="I155" i="19" s="1"/>
  <c r="E153" i="24"/>
  <c r="F153" i="24" s="1"/>
  <c r="H153" i="24" s="1"/>
  <c r="E153" i="27"/>
  <c r="F153" i="27" s="1"/>
  <c r="H153" i="27" s="1"/>
  <c r="E149" i="34"/>
  <c r="F149" i="34" s="1"/>
  <c r="H149" i="34" s="1"/>
  <c r="F155" i="18"/>
  <c r="E73" i="24"/>
  <c r="E74" i="24" s="1"/>
  <c r="I72" i="24"/>
  <c r="G152" i="26"/>
  <c r="D153" i="26"/>
  <c r="J151" i="26"/>
  <c r="I70" i="28"/>
  <c r="G70" i="23"/>
  <c r="I70" i="23" s="1"/>
  <c r="H64" i="38"/>
  <c r="I64" i="38" s="1"/>
  <c r="H66" i="31"/>
  <c r="I66" i="31" s="1"/>
  <c r="H70" i="27"/>
  <c r="I70" i="27" s="1"/>
  <c r="D67" i="35"/>
  <c r="E67" i="35" s="1"/>
  <c r="G66" i="35"/>
  <c r="H66" i="35"/>
  <c r="B70" i="22"/>
  <c r="D69" i="25"/>
  <c r="E69" i="25" s="1"/>
  <c r="D66" i="37"/>
  <c r="E66" i="37" s="1"/>
  <c r="D67" i="34"/>
  <c r="E67" i="34" s="1"/>
  <c r="H73" i="4"/>
  <c r="G73" i="4"/>
  <c r="G74" i="4" s="1"/>
  <c r="F73" i="18"/>
  <c r="H73" i="18" s="1"/>
  <c r="B73" i="18"/>
  <c r="D70" i="26"/>
  <c r="E70" i="26" s="1"/>
  <c r="D65" i="38"/>
  <c r="E65" i="38" s="1"/>
  <c r="D150" i="35"/>
  <c r="G149" i="35"/>
  <c r="B71" i="21"/>
  <c r="F71" i="21"/>
  <c r="H71" i="21" s="1"/>
  <c r="D68" i="29"/>
  <c r="E68" i="29" s="1"/>
  <c r="G69" i="26"/>
  <c r="I69" i="26" s="1"/>
  <c r="G66" i="34"/>
  <c r="I66" i="34" s="1"/>
  <c r="D71" i="27"/>
  <c r="E71" i="27" s="1"/>
  <c r="B73" i="19"/>
  <c r="F73" i="19"/>
  <c r="H73" i="19" s="1"/>
  <c r="G67" i="29"/>
  <c r="D69" i="13"/>
  <c r="E69" i="13" s="1"/>
  <c r="G68" i="13"/>
  <c r="I68" i="13" s="1"/>
  <c r="J148" i="31"/>
  <c r="D67" i="31"/>
  <c r="E67" i="31" s="1"/>
  <c r="D71" i="23"/>
  <c r="E71" i="23" s="1"/>
  <c r="H68" i="25"/>
  <c r="I68" i="25" s="1"/>
  <c r="G65" i="37"/>
  <c r="I65" i="37" s="1"/>
  <c r="H67" i="29"/>
  <c r="E70" i="22"/>
  <c r="F70" i="22" s="1"/>
  <c r="G148" i="37"/>
  <c r="D149" i="37"/>
  <c r="J155" i="4"/>
  <c r="J156" i="4" s="1"/>
  <c r="I156" i="4"/>
  <c r="J154" i="19"/>
  <c r="J148" i="20"/>
  <c r="G149" i="31"/>
  <c r="D150" i="31"/>
  <c r="J153" i="28"/>
  <c r="G154" i="29"/>
  <c r="D155" i="29"/>
  <c r="B153" i="21"/>
  <c r="I148" i="38"/>
  <c r="B153" i="24"/>
  <c r="I152" i="25"/>
  <c r="B149" i="38"/>
  <c r="I152" i="24"/>
  <c r="I148" i="34"/>
  <c r="E149" i="38"/>
  <c r="F149" i="38" s="1"/>
  <c r="H149" i="38" s="1"/>
  <c r="B149" i="34"/>
  <c r="I152" i="21"/>
  <c r="I152" i="27"/>
  <c r="B150" i="13"/>
  <c r="B153" i="27"/>
  <c r="B153" i="25"/>
  <c r="H149" i="13"/>
  <c r="I149" i="13"/>
  <c r="E153" i="21"/>
  <c r="F153" i="21" s="1"/>
  <c r="H153" i="21" s="1"/>
  <c r="E153" i="25"/>
  <c r="F153" i="25" s="1"/>
  <c r="H153" i="25" s="1"/>
  <c r="E150" i="13"/>
  <c r="F150" i="13" s="1"/>
  <c r="G152" i="22"/>
  <c r="D153" i="22"/>
  <c r="G149" i="20"/>
  <c r="D150" i="20"/>
  <c r="J151" i="22"/>
  <c r="J155" i="3"/>
  <c r="J156" i="3" s="1"/>
  <c r="I156" i="3"/>
  <c r="H155" i="19" l="1"/>
  <c r="H156" i="19" s="1"/>
  <c r="E153" i="22"/>
  <c r="F153" i="22" s="1"/>
  <c r="H153" i="22" s="1"/>
  <c r="G155" i="18"/>
  <c r="I155" i="18" s="1"/>
  <c r="H155" i="18"/>
  <c r="E150" i="31"/>
  <c r="F150" i="31" s="1"/>
  <c r="H150" i="31" s="1"/>
  <c r="E155" i="29"/>
  <c r="E156" i="29" s="1"/>
  <c r="E156" i="28"/>
  <c r="F73" i="24"/>
  <c r="E153" i="26"/>
  <c r="F153" i="26" s="1"/>
  <c r="H153" i="26" s="1"/>
  <c r="B153" i="26"/>
  <c r="I152" i="26"/>
  <c r="G73" i="18"/>
  <c r="G74" i="18" s="1"/>
  <c r="I67" i="29"/>
  <c r="G73" i="19"/>
  <c r="G74" i="19" s="1"/>
  <c r="G71" i="21"/>
  <c r="I71" i="21" s="1"/>
  <c r="I66" i="35"/>
  <c r="D71" i="22"/>
  <c r="E71" i="22" s="1"/>
  <c r="G70" i="22"/>
  <c r="H70" i="22"/>
  <c r="I73" i="4"/>
  <c r="I74" i="4" s="1"/>
  <c r="H74" i="4"/>
  <c r="I149" i="35"/>
  <c r="E150" i="35"/>
  <c r="F150" i="35" s="1"/>
  <c r="H150" i="35" s="1"/>
  <c r="B150" i="35"/>
  <c r="B67" i="34"/>
  <c r="F67" i="34"/>
  <c r="B71" i="23"/>
  <c r="F71" i="23"/>
  <c r="H71" i="23" s="1"/>
  <c r="F68" i="29"/>
  <c r="G68" i="29" s="1"/>
  <c r="B71" i="28"/>
  <c r="H74" i="18"/>
  <c r="B69" i="13"/>
  <c r="F69" i="13"/>
  <c r="H69" i="13" s="1"/>
  <c r="F65" i="38"/>
  <c r="G65" i="38" s="1"/>
  <c r="B65" i="38"/>
  <c r="B66" i="37"/>
  <c r="F66" i="37"/>
  <c r="G66" i="37" s="1"/>
  <c r="B71" i="27"/>
  <c r="F71" i="27"/>
  <c r="H71" i="27" s="1"/>
  <c r="H74" i="19"/>
  <c r="B67" i="31"/>
  <c r="F67" i="31"/>
  <c r="H67" i="31" s="1"/>
  <c r="D72" i="21"/>
  <c r="E72" i="21" s="1"/>
  <c r="B70" i="26"/>
  <c r="F70" i="26"/>
  <c r="G70" i="26" s="1"/>
  <c r="B69" i="25"/>
  <c r="F69" i="25"/>
  <c r="H69" i="25" s="1"/>
  <c r="B67" i="35"/>
  <c r="F67" i="35"/>
  <c r="H67" i="35" s="1"/>
  <c r="E149" i="37"/>
  <c r="F149" i="37" s="1"/>
  <c r="H149" i="37" s="1"/>
  <c r="B149" i="37"/>
  <c r="I148" i="37"/>
  <c r="J152" i="24"/>
  <c r="B150" i="31"/>
  <c r="I149" i="31"/>
  <c r="J152" i="27"/>
  <c r="D154" i="21"/>
  <c r="G153" i="21"/>
  <c r="D154" i="25"/>
  <c r="G153" i="25"/>
  <c r="G150" i="13"/>
  <c r="D151" i="13"/>
  <c r="E151" i="13" s="1"/>
  <c r="J152" i="21"/>
  <c r="G153" i="27"/>
  <c r="D154" i="27"/>
  <c r="G149" i="34"/>
  <c r="D150" i="34"/>
  <c r="D150" i="38"/>
  <c r="G149" i="38"/>
  <c r="B155" i="28"/>
  <c r="G153" i="24"/>
  <c r="D154" i="24"/>
  <c r="I156" i="19"/>
  <c r="I154" i="29"/>
  <c r="H149" i="20"/>
  <c r="I149" i="20"/>
  <c r="B150" i="20"/>
  <c r="E150" i="20"/>
  <c r="F150" i="20" s="1"/>
  <c r="B153" i="22"/>
  <c r="I152" i="22"/>
  <c r="F155" i="29" l="1"/>
  <c r="G155" i="29" s="1"/>
  <c r="I155" i="29" s="1"/>
  <c r="I156" i="29" s="1"/>
  <c r="J155" i="19"/>
  <c r="J156" i="19" s="1"/>
  <c r="E154" i="25"/>
  <c r="F154" i="25" s="1"/>
  <c r="H154" i="25" s="1"/>
  <c r="E154" i="24"/>
  <c r="F154" i="24" s="1"/>
  <c r="H154" i="24" s="1"/>
  <c r="E154" i="27"/>
  <c r="F154" i="27" s="1"/>
  <c r="H154" i="27" s="1"/>
  <c r="E154" i="21"/>
  <c r="F154" i="21" s="1"/>
  <c r="H154" i="21" s="1"/>
  <c r="H156" i="18"/>
  <c r="E150" i="38"/>
  <c r="F150" i="38" s="1"/>
  <c r="H150" i="38" s="1"/>
  <c r="H156" i="28"/>
  <c r="I156" i="18"/>
  <c r="J155" i="18"/>
  <c r="J156" i="18" s="1"/>
  <c r="I73" i="18"/>
  <c r="I74" i="18" s="1"/>
  <c r="H73" i="24"/>
  <c r="G73" i="24"/>
  <c r="G74" i="24" s="1"/>
  <c r="J152" i="26"/>
  <c r="D154" i="26"/>
  <c r="G153" i="26"/>
  <c r="I73" i="19"/>
  <c r="I74" i="19" s="1"/>
  <c r="I70" i="22"/>
  <c r="H70" i="26"/>
  <c r="I70" i="26" s="1"/>
  <c r="H65" i="38"/>
  <c r="I65" i="38" s="1"/>
  <c r="G71" i="23"/>
  <c r="I71" i="23" s="1"/>
  <c r="H66" i="37"/>
  <c r="I66" i="37" s="1"/>
  <c r="D70" i="13"/>
  <c r="E70" i="13" s="1"/>
  <c r="D68" i="34"/>
  <c r="E68" i="34" s="1"/>
  <c r="G67" i="34"/>
  <c r="D70" i="25"/>
  <c r="B72" i="21"/>
  <c r="F72" i="21"/>
  <c r="H72" i="21" s="1"/>
  <c r="D72" i="27"/>
  <c r="E72" i="27" s="1"/>
  <c r="G69" i="13"/>
  <c r="I69" i="13" s="1"/>
  <c r="D69" i="29"/>
  <c r="E69" i="29" s="1"/>
  <c r="D67" i="37"/>
  <c r="E67" i="37" s="1"/>
  <c r="G67" i="31"/>
  <c r="I67" i="31" s="1"/>
  <c r="G71" i="27"/>
  <c r="I71" i="27" s="1"/>
  <c r="H68" i="29"/>
  <c r="I68" i="29" s="1"/>
  <c r="H67" i="34"/>
  <c r="D68" i="35"/>
  <c r="E68" i="35" s="1"/>
  <c r="G69" i="25"/>
  <c r="I69" i="25" s="1"/>
  <c r="D71" i="26"/>
  <c r="E71" i="26" s="1"/>
  <c r="D68" i="31"/>
  <c r="E68" i="31" s="1"/>
  <c r="D72" i="23"/>
  <c r="E72" i="23" s="1"/>
  <c r="D151" i="35"/>
  <c r="G150" i="35"/>
  <c r="G67" i="35"/>
  <c r="I67" i="35" s="1"/>
  <c r="D66" i="38"/>
  <c r="E66" i="38" s="1"/>
  <c r="B71" i="22"/>
  <c r="F71" i="22"/>
  <c r="H71" i="22" s="1"/>
  <c r="D150" i="37"/>
  <c r="G149" i="37"/>
  <c r="J149" i="31"/>
  <c r="G150" i="31"/>
  <c r="D151" i="31"/>
  <c r="J154" i="28"/>
  <c r="B150" i="34"/>
  <c r="I149" i="34"/>
  <c r="I153" i="25"/>
  <c r="E150" i="34"/>
  <c r="F150" i="34" s="1"/>
  <c r="H150" i="34" s="1"/>
  <c r="H150" i="13"/>
  <c r="I150" i="13"/>
  <c r="B154" i="27"/>
  <c r="B154" i="25"/>
  <c r="B154" i="24"/>
  <c r="I149" i="38"/>
  <c r="I153" i="27"/>
  <c r="J149" i="20"/>
  <c r="I153" i="24"/>
  <c r="I153" i="21"/>
  <c r="B150" i="38"/>
  <c r="B151" i="13"/>
  <c r="F151" i="13"/>
  <c r="B154" i="21"/>
  <c r="G150" i="20"/>
  <c r="D151" i="20"/>
  <c r="D154" i="22"/>
  <c r="G153" i="22"/>
  <c r="J152" i="22"/>
  <c r="H155" i="29" l="1"/>
  <c r="H156" i="29" s="1"/>
  <c r="E154" i="22"/>
  <c r="F154" i="22" s="1"/>
  <c r="H154" i="22" s="1"/>
  <c r="H74" i="24"/>
  <c r="I73" i="24"/>
  <c r="I74" i="24" s="1"/>
  <c r="I153" i="26"/>
  <c r="B154" i="26"/>
  <c r="E154" i="26"/>
  <c r="F154" i="26" s="1"/>
  <c r="H154" i="26" s="1"/>
  <c r="I67" i="34"/>
  <c r="G72" i="21"/>
  <c r="I72" i="21" s="1"/>
  <c r="B70" i="25"/>
  <c r="B68" i="31"/>
  <c r="F68" i="31"/>
  <c r="H68" i="31" s="1"/>
  <c r="F72" i="27"/>
  <c r="G72" i="27" s="1"/>
  <c r="B72" i="27"/>
  <c r="B66" i="38"/>
  <c r="F66" i="38"/>
  <c r="B71" i="26"/>
  <c r="F71" i="26"/>
  <c r="G71" i="26" s="1"/>
  <c r="B68" i="34"/>
  <c r="F68" i="34"/>
  <c r="G68" i="34" s="1"/>
  <c r="I71" i="28"/>
  <c r="I150" i="35"/>
  <c r="F67" i="37"/>
  <c r="H67" i="37" s="1"/>
  <c r="B67" i="37"/>
  <c r="D73" i="21"/>
  <c r="E73" i="21" s="1"/>
  <c r="E74" i="21" s="1"/>
  <c r="D72" i="22"/>
  <c r="E72" i="22" s="1"/>
  <c r="E151" i="35"/>
  <c r="F151" i="35" s="1"/>
  <c r="H151" i="35" s="1"/>
  <c r="B151" i="35"/>
  <c r="B70" i="13"/>
  <c r="F70" i="13"/>
  <c r="G70" i="13" s="1"/>
  <c r="B72" i="28"/>
  <c r="G71" i="22"/>
  <c r="I71" i="22" s="1"/>
  <c r="B72" i="23"/>
  <c r="F72" i="23"/>
  <c r="G72" i="23" s="1"/>
  <c r="F68" i="35"/>
  <c r="G68" i="35" s="1"/>
  <c r="B68" i="35"/>
  <c r="F69" i="29"/>
  <c r="G69" i="29" s="1"/>
  <c r="E70" i="25"/>
  <c r="F70" i="25" s="1"/>
  <c r="I149" i="37"/>
  <c r="E150" i="37"/>
  <c r="F150" i="37" s="1"/>
  <c r="H150" i="37" s="1"/>
  <c r="B150" i="37"/>
  <c r="B151" i="31"/>
  <c r="I150" i="31"/>
  <c r="E151" i="31"/>
  <c r="F151" i="31" s="1"/>
  <c r="H151" i="31" s="1"/>
  <c r="J153" i="24"/>
  <c r="G150" i="34"/>
  <c r="D151" i="34"/>
  <c r="D155" i="21"/>
  <c r="G154" i="21"/>
  <c r="J153" i="27"/>
  <c r="G154" i="25"/>
  <c r="D155" i="25"/>
  <c r="D155" i="27"/>
  <c r="G154" i="27"/>
  <c r="D151" i="38"/>
  <c r="G150" i="38"/>
  <c r="J153" i="21"/>
  <c r="G154" i="24"/>
  <c r="D155" i="24"/>
  <c r="G151" i="13"/>
  <c r="D152" i="13"/>
  <c r="J155" i="28"/>
  <c r="J156" i="28" s="1"/>
  <c r="I156" i="28"/>
  <c r="B154" i="22"/>
  <c r="I150" i="20"/>
  <c r="H150" i="20"/>
  <c r="I153" i="22"/>
  <c r="B151" i="20"/>
  <c r="E151" i="20"/>
  <c r="F151" i="20" s="1"/>
  <c r="E155" i="25" l="1"/>
  <c r="E156" i="25" s="1"/>
  <c r="E155" i="24"/>
  <c r="E156" i="24" s="1"/>
  <c r="E155" i="21"/>
  <c r="E156" i="21" s="1"/>
  <c r="E155" i="27"/>
  <c r="E156" i="27" s="1"/>
  <c r="E151" i="38"/>
  <c r="F151" i="38" s="1"/>
  <c r="H151" i="38" s="1"/>
  <c r="E151" i="34"/>
  <c r="F151" i="34" s="1"/>
  <c r="H151" i="34" s="1"/>
  <c r="D155" i="26"/>
  <c r="G154" i="26"/>
  <c r="J153" i="26"/>
  <c r="J150" i="31"/>
  <c r="G67" i="37"/>
  <c r="I67" i="37" s="1"/>
  <c r="H68" i="35"/>
  <c r="I68" i="35" s="1"/>
  <c r="H69" i="29"/>
  <c r="I69" i="29" s="1"/>
  <c r="H68" i="34"/>
  <c r="I68" i="34" s="1"/>
  <c r="H70" i="13"/>
  <c r="I70" i="13" s="1"/>
  <c r="H72" i="27"/>
  <c r="I72" i="27" s="1"/>
  <c r="D71" i="25"/>
  <c r="E71" i="25" s="1"/>
  <c r="H70" i="25"/>
  <c r="G70" i="25"/>
  <c r="D67" i="38"/>
  <c r="E67" i="38" s="1"/>
  <c r="D152" i="35"/>
  <c r="G151" i="35"/>
  <c r="D69" i="31"/>
  <c r="E69" i="31" s="1"/>
  <c r="G66" i="38"/>
  <c r="D69" i="35"/>
  <c r="E69" i="35" s="1"/>
  <c r="E74" i="28"/>
  <c r="D68" i="37"/>
  <c r="E68" i="37" s="1"/>
  <c r="I72" i="28"/>
  <c r="D72" i="26"/>
  <c r="E72" i="26" s="1"/>
  <c r="D73" i="23"/>
  <c r="F72" i="22"/>
  <c r="G72" i="22" s="1"/>
  <c r="B72" i="22"/>
  <c r="D70" i="29"/>
  <c r="E70" i="29" s="1"/>
  <c r="D71" i="13"/>
  <c r="E71" i="13" s="1"/>
  <c r="H71" i="26"/>
  <c r="I71" i="26" s="1"/>
  <c r="D73" i="27"/>
  <c r="E73" i="27" s="1"/>
  <c r="E74" i="27" s="1"/>
  <c r="H72" i="23"/>
  <c r="I72" i="23" s="1"/>
  <c r="F73" i="21"/>
  <c r="H73" i="21" s="1"/>
  <c r="B73" i="21"/>
  <c r="D69" i="34"/>
  <c r="E69" i="34" s="1"/>
  <c r="H66" i="38"/>
  <c r="G68" i="31"/>
  <c r="I68" i="31" s="1"/>
  <c r="D151" i="37"/>
  <c r="G150" i="37"/>
  <c r="D152" i="31"/>
  <c r="G151" i="31"/>
  <c r="I150" i="38"/>
  <c r="I154" i="24"/>
  <c r="I154" i="25"/>
  <c r="I154" i="21"/>
  <c r="B155" i="24"/>
  <c r="B155" i="21"/>
  <c r="B151" i="38"/>
  <c r="H151" i="13"/>
  <c r="I151" i="13"/>
  <c r="I154" i="27"/>
  <c r="B151" i="34"/>
  <c r="B155" i="25"/>
  <c r="B152" i="13"/>
  <c r="E152" i="13"/>
  <c r="F152" i="13" s="1"/>
  <c r="B155" i="27"/>
  <c r="I150" i="34"/>
  <c r="G151" i="20"/>
  <c r="D152" i="20"/>
  <c r="D155" i="22"/>
  <c r="G154" i="22"/>
  <c r="J153" i="22"/>
  <c r="J150" i="20"/>
  <c r="F155" i="25" l="1"/>
  <c r="G155" i="25" s="1"/>
  <c r="I155" i="25" s="1"/>
  <c r="I156" i="25" s="1"/>
  <c r="F155" i="21"/>
  <c r="G155" i="21" s="1"/>
  <c r="I155" i="21" s="1"/>
  <c r="F155" i="27"/>
  <c r="G155" i="27" s="1"/>
  <c r="I155" i="27" s="1"/>
  <c r="F155" i="24"/>
  <c r="E155" i="22"/>
  <c r="E156" i="22" s="1"/>
  <c r="E152" i="31"/>
  <c r="F152" i="31" s="1"/>
  <c r="H152" i="31" s="1"/>
  <c r="I154" i="26"/>
  <c r="E155" i="26"/>
  <c r="E156" i="26" s="1"/>
  <c r="B155" i="26"/>
  <c r="J154" i="21"/>
  <c r="I66" i="38"/>
  <c r="H72" i="22"/>
  <c r="I72" i="22" s="1"/>
  <c r="H74" i="21"/>
  <c r="G73" i="21"/>
  <c r="G74" i="21" s="1"/>
  <c r="F69" i="35"/>
  <c r="H69" i="35" s="1"/>
  <c r="B69" i="35"/>
  <c r="F70" i="29"/>
  <c r="B72" i="26"/>
  <c r="F72" i="26"/>
  <c r="G72" i="26" s="1"/>
  <c r="B67" i="38"/>
  <c r="F67" i="38"/>
  <c r="B73" i="27"/>
  <c r="F73" i="27"/>
  <c r="H73" i="27" s="1"/>
  <c r="B68" i="37"/>
  <c r="F68" i="37"/>
  <c r="G68" i="37" s="1"/>
  <c r="F69" i="31"/>
  <c r="H69" i="31" s="1"/>
  <c r="B69" i="31"/>
  <c r="I70" i="25"/>
  <c r="B73" i="23"/>
  <c r="B69" i="34"/>
  <c r="F69" i="34"/>
  <c r="H69" i="34" s="1"/>
  <c r="D73" i="22"/>
  <c r="I151" i="35"/>
  <c r="F71" i="13"/>
  <c r="H71" i="13" s="1"/>
  <c r="B71" i="13"/>
  <c r="E73" i="23"/>
  <c r="E74" i="23" s="1"/>
  <c r="B73" i="28"/>
  <c r="E152" i="35"/>
  <c r="F152" i="35" s="1"/>
  <c r="H152" i="35" s="1"/>
  <c r="B152" i="35"/>
  <c r="F71" i="25"/>
  <c r="H71" i="25" s="1"/>
  <c r="B71" i="25"/>
  <c r="I150" i="37"/>
  <c r="E151" i="37"/>
  <c r="F151" i="37" s="1"/>
  <c r="H151" i="37" s="1"/>
  <c r="B151" i="37"/>
  <c r="I151" i="31"/>
  <c r="B152" i="31"/>
  <c r="J154" i="24"/>
  <c r="J154" i="27"/>
  <c r="G152" i="13"/>
  <c r="D153" i="13"/>
  <c r="E153" i="13" s="1"/>
  <c r="G151" i="34"/>
  <c r="D152" i="34"/>
  <c r="G151" i="38"/>
  <c r="D152" i="38"/>
  <c r="I154" i="22"/>
  <c r="B152" i="20"/>
  <c r="B155" i="22"/>
  <c r="E152" i="20"/>
  <c r="F152" i="20" s="1"/>
  <c r="H151" i="20"/>
  <c r="I151" i="20"/>
  <c r="H155" i="25" l="1"/>
  <c r="H156" i="25" s="1"/>
  <c r="H155" i="21"/>
  <c r="H156" i="21" s="1"/>
  <c r="F155" i="22"/>
  <c r="G155" i="22" s="1"/>
  <c r="I155" i="22" s="1"/>
  <c r="H155" i="27"/>
  <c r="H156" i="27" s="1"/>
  <c r="G155" i="24"/>
  <c r="I155" i="24" s="1"/>
  <c r="I156" i="24" s="1"/>
  <c r="H155" i="24"/>
  <c r="H156" i="24" s="1"/>
  <c r="E152" i="38"/>
  <c r="F152" i="38" s="1"/>
  <c r="H152" i="38" s="1"/>
  <c r="J151" i="31"/>
  <c r="G69" i="31"/>
  <c r="I69" i="31" s="1"/>
  <c r="F155" i="26"/>
  <c r="J154" i="26"/>
  <c r="J154" i="22"/>
  <c r="G71" i="13"/>
  <c r="I71" i="13" s="1"/>
  <c r="G69" i="34"/>
  <c r="I69" i="34" s="1"/>
  <c r="H68" i="37"/>
  <c r="I68" i="37" s="1"/>
  <c r="G74" i="28"/>
  <c r="H74" i="27"/>
  <c r="H74" i="28"/>
  <c r="D68" i="38"/>
  <c r="E68" i="38" s="1"/>
  <c r="G152" i="35"/>
  <c r="D153" i="35"/>
  <c r="D72" i="13"/>
  <c r="D70" i="34"/>
  <c r="E70" i="34" s="1"/>
  <c r="G73" i="27"/>
  <c r="G74" i="27" s="1"/>
  <c r="D73" i="26"/>
  <c r="E73" i="26" s="1"/>
  <c r="E74" i="26" s="1"/>
  <c r="D70" i="35"/>
  <c r="E70" i="35" s="1"/>
  <c r="G69" i="35"/>
  <c r="I69" i="35" s="1"/>
  <c r="B73" i="22"/>
  <c r="D71" i="29"/>
  <c r="E71" i="29" s="1"/>
  <c r="D70" i="31"/>
  <c r="E70" i="31" s="1"/>
  <c r="H72" i="26"/>
  <c r="I72" i="26" s="1"/>
  <c r="D69" i="37"/>
  <c r="H67" i="38"/>
  <c r="H70" i="29"/>
  <c r="D72" i="25"/>
  <c r="E72" i="25" s="1"/>
  <c r="G71" i="25"/>
  <c r="I71" i="25" s="1"/>
  <c r="E73" i="22"/>
  <c r="E74" i="22" s="1"/>
  <c r="F73" i="23"/>
  <c r="G67" i="38"/>
  <c r="G70" i="29"/>
  <c r="I73" i="21"/>
  <c r="I74" i="21" s="1"/>
  <c r="G151" i="37"/>
  <c r="D152" i="37"/>
  <c r="D153" i="31"/>
  <c r="G152" i="31"/>
  <c r="B152" i="34"/>
  <c r="I156" i="21"/>
  <c r="I156" i="27"/>
  <c r="I151" i="34"/>
  <c r="B152" i="38"/>
  <c r="I151" i="38"/>
  <c r="B153" i="13"/>
  <c r="F153" i="13"/>
  <c r="E152" i="34"/>
  <c r="F152" i="34" s="1"/>
  <c r="H152" i="34" s="1"/>
  <c r="H152" i="13"/>
  <c r="I152" i="13"/>
  <c r="G152" i="20"/>
  <c r="D153" i="20"/>
  <c r="J151" i="20"/>
  <c r="J155" i="21" l="1"/>
  <c r="J156" i="21" s="1"/>
  <c r="J155" i="27"/>
  <c r="J156" i="27" s="1"/>
  <c r="J155" i="24"/>
  <c r="J156" i="24" s="1"/>
  <c r="H155" i="22"/>
  <c r="H156" i="22" s="1"/>
  <c r="G155" i="26"/>
  <c r="I155" i="26" s="1"/>
  <c r="H155" i="26"/>
  <c r="H156" i="26" s="1"/>
  <c r="B153" i="31"/>
  <c r="I73" i="28"/>
  <c r="I74" i="28" s="1"/>
  <c r="E153" i="31"/>
  <c r="F153" i="31" s="1"/>
  <c r="G153" i="31" s="1"/>
  <c r="I153" i="31" s="1"/>
  <c r="I70" i="29"/>
  <c r="B70" i="34"/>
  <c r="F70" i="34"/>
  <c r="F68" i="38"/>
  <c r="G68" i="38" s="1"/>
  <c r="B68" i="38"/>
  <c r="B69" i="37"/>
  <c r="B70" i="31"/>
  <c r="F70" i="31"/>
  <c r="H70" i="31" s="1"/>
  <c r="B72" i="25"/>
  <c r="F72" i="25"/>
  <c r="H72" i="25" s="1"/>
  <c r="E72" i="13"/>
  <c r="F72" i="13" s="1"/>
  <c r="F71" i="29"/>
  <c r="H71" i="29" s="1"/>
  <c r="B70" i="35"/>
  <c r="F70" i="35"/>
  <c r="G73" i="23"/>
  <c r="G74" i="23" s="1"/>
  <c r="H73" i="23"/>
  <c r="I152" i="35"/>
  <c r="I67" i="38"/>
  <c r="F73" i="22"/>
  <c r="E69" i="37"/>
  <c r="F69" i="37" s="1"/>
  <c r="B73" i="26"/>
  <c r="F73" i="26"/>
  <c r="H73" i="26" s="1"/>
  <c r="E153" i="35"/>
  <c r="F153" i="35" s="1"/>
  <c r="H153" i="35" s="1"/>
  <c r="B153" i="35"/>
  <c r="I73" i="27"/>
  <c r="I74" i="27" s="1"/>
  <c r="E152" i="37"/>
  <c r="F152" i="37" s="1"/>
  <c r="H152" i="37" s="1"/>
  <c r="B152" i="37"/>
  <c r="I151" i="37"/>
  <c r="I152" i="31"/>
  <c r="G152" i="34"/>
  <c r="D153" i="34"/>
  <c r="D154" i="13"/>
  <c r="E154" i="13" s="1"/>
  <c r="G153" i="13"/>
  <c r="G152" i="38"/>
  <c r="D153" i="38"/>
  <c r="I156" i="22"/>
  <c r="H152" i="20"/>
  <c r="I152" i="20"/>
  <c r="B153" i="20"/>
  <c r="E153" i="20"/>
  <c r="F153" i="20" s="1"/>
  <c r="J155" i="22" l="1"/>
  <c r="J156" i="22" s="1"/>
  <c r="H153" i="31"/>
  <c r="J153" i="31" s="1"/>
  <c r="E153" i="38"/>
  <c r="F153" i="38" s="1"/>
  <c r="H153" i="38" s="1"/>
  <c r="E153" i="34"/>
  <c r="F153" i="34" s="1"/>
  <c r="H153" i="34" s="1"/>
  <c r="G73" i="26"/>
  <c r="G74" i="26" s="1"/>
  <c r="D154" i="31"/>
  <c r="I156" i="26"/>
  <c r="J155" i="26"/>
  <c r="J156" i="26" s="1"/>
  <c r="G71" i="29"/>
  <c r="I71" i="29" s="1"/>
  <c r="H68" i="38"/>
  <c r="I68" i="38" s="1"/>
  <c r="D73" i="13"/>
  <c r="G72" i="13"/>
  <c r="H72" i="13"/>
  <c r="D70" i="37"/>
  <c r="E70" i="37" s="1"/>
  <c r="H69" i="37"/>
  <c r="G69" i="37"/>
  <c r="D71" i="31"/>
  <c r="E71" i="31" s="1"/>
  <c r="D71" i="35"/>
  <c r="E71" i="35" s="1"/>
  <c r="D73" i="25"/>
  <c r="E73" i="25" s="1"/>
  <c r="E74" i="25" s="1"/>
  <c r="H73" i="22"/>
  <c r="G73" i="22"/>
  <c r="G74" i="22" s="1"/>
  <c r="H70" i="35"/>
  <c r="G72" i="25"/>
  <c r="I72" i="25" s="1"/>
  <c r="G70" i="31"/>
  <c r="I70" i="31" s="1"/>
  <c r="D69" i="38"/>
  <c r="E69" i="38" s="1"/>
  <c r="G70" i="35"/>
  <c r="D71" i="34"/>
  <c r="E71" i="34" s="1"/>
  <c r="H74" i="26"/>
  <c r="H70" i="34"/>
  <c r="D154" i="35"/>
  <c r="G153" i="35"/>
  <c r="D72" i="29"/>
  <c r="E72" i="29" s="1"/>
  <c r="G70" i="34"/>
  <c r="I73" i="23"/>
  <c r="I74" i="23" s="1"/>
  <c r="H74" i="23"/>
  <c r="G152" i="37"/>
  <c r="D153" i="37"/>
  <c r="J152" i="31"/>
  <c r="I152" i="38"/>
  <c r="H153" i="13"/>
  <c r="I153" i="13"/>
  <c r="B154" i="13"/>
  <c r="F154" i="13"/>
  <c r="J152" i="20"/>
  <c r="B153" i="34"/>
  <c r="B153" i="38"/>
  <c r="I152" i="34"/>
  <c r="D154" i="20"/>
  <c r="G153" i="20"/>
  <c r="E154" i="31" l="1"/>
  <c r="F154" i="31" s="1"/>
  <c r="G154" i="31" s="1"/>
  <c r="I73" i="26"/>
  <c r="I74" i="26" s="1"/>
  <c r="B154" i="31"/>
  <c r="I70" i="34"/>
  <c r="I70" i="35"/>
  <c r="I72" i="13"/>
  <c r="F69" i="38"/>
  <c r="G69" i="38" s="1"/>
  <c r="B69" i="38"/>
  <c r="F73" i="25"/>
  <c r="G73" i="25" s="1"/>
  <c r="G74" i="25" s="1"/>
  <c r="B73" i="25"/>
  <c r="I69" i="37"/>
  <c r="B70" i="37"/>
  <c r="F70" i="37"/>
  <c r="G70" i="37" s="1"/>
  <c r="B71" i="35"/>
  <c r="F71" i="35"/>
  <c r="H71" i="35" s="1"/>
  <c r="F72" i="29"/>
  <c r="B71" i="34"/>
  <c r="F71" i="34"/>
  <c r="H71" i="34" s="1"/>
  <c r="I153" i="35"/>
  <c r="I73" i="22"/>
  <c r="I74" i="22" s="1"/>
  <c r="H74" i="22"/>
  <c r="F71" i="31"/>
  <c r="G71" i="31" s="1"/>
  <c r="B71" i="31"/>
  <c r="B73" i="13"/>
  <c r="E154" i="35"/>
  <c r="F154" i="35" s="1"/>
  <c r="H154" i="35" s="1"/>
  <c r="B154" i="35"/>
  <c r="E73" i="13"/>
  <c r="E74" i="13" s="1"/>
  <c r="E153" i="37"/>
  <c r="F153" i="37" s="1"/>
  <c r="H153" i="37" s="1"/>
  <c r="B153" i="37"/>
  <c r="I152" i="37"/>
  <c r="G153" i="38"/>
  <c r="D154" i="38"/>
  <c r="D155" i="13"/>
  <c r="G154" i="13"/>
  <c r="D154" i="34"/>
  <c r="G153" i="34"/>
  <c r="B154" i="20"/>
  <c r="H153" i="20"/>
  <c r="I153" i="20"/>
  <c r="E154" i="20"/>
  <c r="F154" i="20" s="1"/>
  <c r="E154" i="38" l="1"/>
  <c r="F154" i="38" s="1"/>
  <c r="H154" i="38" s="1"/>
  <c r="E154" i="34"/>
  <c r="F154" i="34" s="1"/>
  <c r="H154" i="34" s="1"/>
  <c r="H154" i="31"/>
  <c r="I154" i="31"/>
  <c r="D155" i="31"/>
  <c r="H71" i="31"/>
  <c r="I71" i="31" s="1"/>
  <c r="G71" i="34"/>
  <c r="I71" i="34" s="1"/>
  <c r="D72" i="35"/>
  <c r="E72" i="35" s="1"/>
  <c r="D72" i="34"/>
  <c r="E72" i="34" s="1"/>
  <c r="H73" i="25"/>
  <c r="D72" i="31"/>
  <c r="E72" i="31" s="1"/>
  <c r="D73" i="29"/>
  <c r="E73" i="29" s="1"/>
  <c r="E74" i="29" s="1"/>
  <c r="D71" i="37"/>
  <c r="E71" i="37" s="1"/>
  <c r="G72" i="29"/>
  <c r="H70" i="37"/>
  <c r="I70" i="37" s="1"/>
  <c r="D155" i="35"/>
  <c r="G154" i="35"/>
  <c r="F73" i="13"/>
  <c r="H72" i="29"/>
  <c r="D70" i="38"/>
  <c r="E70" i="38" s="1"/>
  <c r="G71" i="35"/>
  <c r="I71" i="35" s="1"/>
  <c r="H69" i="38"/>
  <c r="I69" i="38" s="1"/>
  <c r="G153" i="37"/>
  <c r="D154" i="37"/>
  <c r="B155" i="13"/>
  <c r="H154" i="13"/>
  <c r="I154" i="13"/>
  <c r="I153" i="34"/>
  <c r="B154" i="38"/>
  <c r="B154" i="34"/>
  <c r="I153" i="38"/>
  <c r="J153" i="20"/>
  <c r="E155" i="13"/>
  <c r="E156" i="13" s="1"/>
  <c r="D155" i="20"/>
  <c r="E155" i="20" s="1"/>
  <c r="E156" i="20" s="1"/>
  <c r="G154" i="20"/>
  <c r="J154" i="31" l="1"/>
  <c r="B154" i="37"/>
  <c r="E155" i="31"/>
  <c r="E156" i="31" s="1"/>
  <c r="B155" i="31"/>
  <c r="E154" i="37"/>
  <c r="F154" i="37" s="1"/>
  <c r="H154" i="37" s="1"/>
  <c r="I73" i="25"/>
  <c r="I74" i="25" s="1"/>
  <c r="H74" i="25"/>
  <c r="F72" i="34"/>
  <c r="G72" i="34" s="1"/>
  <c r="B70" i="38"/>
  <c r="F70" i="38"/>
  <c r="F71" i="37"/>
  <c r="G71" i="37" s="1"/>
  <c r="B71" i="37"/>
  <c r="I72" i="29"/>
  <c r="H73" i="13"/>
  <c r="G73" i="13"/>
  <c r="G74" i="13" s="1"/>
  <c r="F73" i="29"/>
  <c r="G73" i="29" s="1"/>
  <c r="G74" i="29" s="1"/>
  <c r="F72" i="35"/>
  <c r="H72" i="35" s="1"/>
  <c r="I154" i="35"/>
  <c r="E155" i="35"/>
  <c r="E156" i="35" s="1"/>
  <c r="B155" i="35"/>
  <c r="F72" i="31"/>
  <c r="G72" i="31" s="1"/>
  <c r="B72" i="31"/>
  <c r="I153" i="37"/>
  <c r="D155" i="34"/>
  <c r="G154" i="34"/>
  <c r="G154" i="38"/>
  <c r="D155" i="38"/>
  <c r="F155" i="13"/>
  <c r="G155" i="13" s="1"/>
  <c r="I154" i="20"/>
  <c r="H154" i="20"/>
  <c r="B155" i="20"/>
  <c r="F155" i="20"/>
  <c r="G155" i="20" s="1"/>
  <c r="F155" i="31" l="1"/>
  <c r="G155" i="31" s="1"/>
  <c r="I155" i="31" s="1"/>
  <c r="I156" i="31" s="1"/>
  <c r="E155" i="38"/>
  <c r="E156" i="38" s="1"/>
  <c r="E155" i="34"/>
  <c r="E156" i="34" s="1"/>
  <c r="H72" i="34"/>
  <c r="I72" i="34" s="1"/>
  <c r="F155" i="35"/>
  <c r="D155" i="37"/>
  <c r="G154" i="37"/>
  <c r="H72" i="31"/>
  <c r="I72" i="31" s="1"/>
  <c r="H73" i="29"/>
  <c r="I73" i="29" s="1"/>
  <c r="I74" i="29" s="1"/>
  <c r="H71" i="37"/>
  <c r="I71" i="37" s="1"/>
  <c r="D71" i="38"/>
  <c r="E71" i="38" s="1"/>
  <c r="G70" i="38"/>
  <c r="D73" i="35"/>
  <c r="E73" i="35" s="1"/>
  <c r="E74" i="35" s="1"/>
  <c r="D73" i="31"/>
  <c r="G72" i="35"/>
  <c r="I72" i="35" s="1"/>
  <c r="D73" i="34"/>
  <c r="E73" i="34" s="1"/>
  <c r="E74" i="34" s="1"/>
  <c r="D72" i="37"/>
  <c r="E72" i="37" s="1"/>
  <c r="I73" i="13"/>
  <c r="I74" i="13" s="1"/>
  <c r="H74" i="13"/>
  <c r="H70" i="38"/>
  <c r="B155" i="38"/>
  <c r="I154" i="38"/>
  <c r="I154" i="34"/>
  <c r="H155" i="13"/>
  <c r="H156" i="13" s="1"/>
  <c r="I155" i="13"/>
  <c r="I156" i="13" s="1"/>
  <c r="B155" i="34"/>
  <c r="H155" i="20"/>
  <c r="H156" i="20" s="1"/>
  <c r="I155" i="20"/>
  <c r="J154" i="20"/>
  <c r="F155" i="38" l="1"/>
  <c r="G155" i="38" s="1"/>
  <c r="I155" i="38" s="1"/>
  <c r="I156" i="38" s="1"/>
  <c r="H155" i="31"/>
  <c r="H156" i="31" s="1"/>
  <c r="H74" i="29"/>
  <c r="F155" i="34"/>
  <c r="G155" i="34" s="1"/>
  <c r="I155" i="34" s="1"/>
  <c r="I156" i="34" s="1"/>
  <c r="G155" i="35"/>
  <c r="I155" i="35" s="1"/>
  <c r="I156" i="35" s="1"/>
  <c r="H155" i="35"/>
  <c r="I70" i="38"/>
  <c r="I154" i="37"/>
  <c r="E155" i="37"/>
  <c r="B155" i="37"/>
  <c r="B73" i="31"/>
  <c r="F73" i="35"/>
  <c r="H73" i="35" s="1"/>
  <c r="B73" i="35"/>
  <c r="B73" i="34"/>
  <c r="F73" i="34"/>
  <c r="H73" i="34" s="1"/>
  <c r="F72" i="37"/>
  <c r="H72" i="37" s="1"/>
  <c r="F71" i="38"/>
  <c r="G71" i="38" s="1"/>
  <c r="B71" i="38"/>
  <c r="E73" i="31"/>
  <c r="E74" i="31" s="1"/>
  <c r="J155" i="20"/>
  <c r="J156" i="20" s="1"/>
  <c r="I156" i="20"/>
  <c r="H155" i="38" l="1"/>
  <c r="H156" i="38" s="1"/>
  <c r="H155" i="34"/>
  <c r="H156" i="34" s="1"/>
  <c r="J155" i="31"/>
  <c r="J156" i="31" s="1"/>
  <c r="H156" i="35"/>
  <c r="G73" i="35"/>
  <c r="G74" i="35" s="1"/>
  <c r="G73" i="34"/>
  <c r="G74" i="34" s="1"/>
  <c r="E156" i="37"/>
  <c r="F155" i="37"/>
  <c r="H71" i="38"/>
  <c r="I71" i="38" s="1"/>
  <c r="H74" i="34"/>
  <c r="H74" i="35"/>
  <c r="D73" i="37"/>
  <c r="F73" i="31"/>
  <c r="G72" i="37"/>
  <c r="I72" i="37" s="1"/>
  <c r="D72" i="38"/>
  <c r="E72" i="38" s="1"/>
  <c r="I73" i="35" l="1"/>
  <c r="I74" i="35" s="1"/>
  <c r="I73" i="34"/>
  <c r="I74" i="34" s="1"/>
  <c r="G155" i="37"/>
  <c r="I155" i="37" s="1"/>
  <c r="I156" i="37" s="1"/>
  <c r="H155" i="37"/>
  <c r="H156" i="37" s="1"/>
  <c r="H73" i="31"/>
  <c r="G73" i="31"/>
  <c r="G74" i="31" s="1"/>
  <c r="B73" i="37"/>
  <c r="E73" i="37"/>
  <c r="E74" i="37" s="1"/>
  <c r="F72" i="38"/>
  <c r="G72" i="38" s="1"/>
  <c r="H72" i="38" l="1"/>
  <c r="I72" i="38" s="1"/>
  <c r="F73" i="37"/>
  <c r="D73" i="38"/>
  <c r="I73" i="31"/>
  <c r="I74" i="31" s="1"/>
  <c r="H74" i="31"/>
  <c r="B73" i="38" l="1"/>
  <c r="E73" i="38"/>
  <c r="E74" i="38" s="1"/>
  <c r="G73" i="37"/>
  <c r="G74" i="37" s="1"/>
  <c r="H73" i="37"/>
  <c r="I73" i="37" l="1"/>
  <c r="I74" i="37" s="1"/>
  <c r="H74" i="37"/>
  <c r="F73" i="38"/>
  <c r="G73" i="38" l="1"/>
  <c r="G74" i="38" s="1"/>
  <c r="H73" i="38"/>
  <c r="I73" i="38" l="1"/>
  <c r="I74" i="38" s="1"/>
  <c r="H74" i="38"/>
  <c r="J93" i="3" l="1"/>
  <c r="M89" i="3" s="1"/>
  <c r="L87" i="3" l="1"/>
  <c r="N89" i="3"/>
  <c r="N88" i="3"/>
  <c r="M88" i="3"/>
  <c r="J93" i="38"/>
  <c r="N88" i="38" s="1"/>
  <c r="J93" i="24"/>
  <c r="J93" i="13"/>
  <c r="M19" i="2"/>
  <c r="A4" i="2"/>
  <c r="J93" i="18"/>
  <c r="J93" i="19"/>
  <c r="J93" i="23"/>
  <c r="J93" i="25"/>
  <c r="J93" i="27"/>
  <c r="J93" i="26"/>
  <c r="J93" i="28"/>
  <c r="J93" i="35"/>
  <c r="J93" i="34"/>
  <c r="J93" i="37"/>
  <c r="J93" i="20"/>
  <c r="J93" i="31"/>
  <c r="J93" i="29"/>
  <c r="J93" i="22"/>
  <c r="J93" i="21"/>
  <c r="J93" i="4"/>
  <c r="M90" i="3" l="1"/>
  <c r="L87" i="4"/>
  <c r="N89" i="4"/>
  <c r="N88" i="4"/>
  <c r="M88" i="4"/>
  <c r="M89" i="4"/>
  <c r="M88" i="31"/>
  <c r="L87" i="31"/>
  <c r="N89" i="31"/>
  <c r="N88" i="31"/>
  <c r="M89" i="31"/>
  <c r="M88" i="20"/>
  <c r="L87" i="20"/>
  <c r="N88" i="20"/>
  <c r="N89" i="20"/>
  <c r="M89" i="20"/>
  <c r="N88" i="23"/>
  <c r="N89" i="23"/>
  <c r="M88" i="23"/>
  <c r="L87" i="23"/>
  <c r="M89" i="23"/>
  <c r="N89" i="22"/>
  <c r="N88" i="22"/>
  <c r="L87" i="22"/>
  <c r="M88" i="22"/>
  <c r="M89" i="22"/>
  <c r="N88" i="26"/>
  <c r="M88" i="26"/>
  <c r="L87" i="26"/>
  <c r="N89" i="26"/>
  <c r="M89" i="26"/>
  <c r="L87" i="13"/>
  <c r="N88" i="13"/>
  <c r="M89" i="13"/>
  <c r="N89" i="13"/>
  <c r="M88" i="13"/>
  <c r="O88" i="3"/>
  <c r="M88" i="35"/>
  <c r="L87" i="35"/>
  <c r="N88" i="35"/>
  <c r="N89" i="35"/>
  <c r="M89" i="35"/>
  <c r="N88" i="21"/>
  <c r="N89" i="21"/>
  <c r="L87" i="21"/>
  <c r="M88" i="21"/>
  <c r="M89" i="21"/>
  <c r="N89" i="28"/>
  <c r="N88" i="28"/>
  <c r="L87" i="28"/>
  <c r="M88" i="28"/>
  <c r="M89" i="28"/>
  <c r="M88" i="37"/>
  <c r="L87" i="37"/>
  <c r="N89" i="37"/>
  <c r="N88" i="37"/>
  <c r="M89" i="37"/>
  <c r="M88" i="19"/>
  <c r="N88" i="19"/>
  <c r="L87" i="19"/>
  <c r="N89" i="19"/>
  <c r="M89" i="19"/>
  <c r="M88" i="29"/>
  <c r="N88" i="29"/>
  <c r="L87" i="29"/>
  <c r="N89" i="29"/>
  <c r="M89" i="29"/>
  <c r="N88" i="34"/>
  <c r="N89" i="34"/>
  <c r="L87" i="34"/>
  <c r="M88" i="34"/>
  <c r="M89" i="34"/>
  <c r="L87" i="27"/>
  <c r="M88" i="27"/>
  <c r="N89" i="27"/>
  <c r="N88" i="27"/>
  <c r="M89" i="27"/>
  <c r="L87" i="18"/>
  <c r="N89" i="18"/>
  <c r="M88" i="18"/>
  <c r="N88" i="18"/>
  <c r="M89" i="18"/>
  <c r="N88" i="24"/>
  <c r="N89" i="24"/>
  <c r="M89" i="24"/>
  <c r="L87" i="24"/>
  <c r="M88" i="24"/>
  <c r="N90" i="3"/>
  <c r="O89" i="3"/>
  <c r="N88" i="25"/>
  <c r="N89" i="25"/>
  <c r="L87" i="25"/>
  <c r="M88" i="25"/>
  <c r="M89" i="25"/>
  <c r="M88" i="38"/>
  <c r="O88" i="38" s="1"/>
  <c r="M89" i="38"/>
  <c r="L87" i="38"/>
  <c r="N89" i="38"/>
  <c r="I18" i="17"/>
  <c r="O90" i="3" l="1"/>
  <c r="M90" i="20"/>
  <c r="M90" i="23"/>
  <c r="M90" i="35"/>
  <c r="M90" i="31"/>
  <c r="M90" i="29"/>
  <c r="M90" i="19"/>
  <c r="O88" i="35"/>
  <c r="O88" i="27"/>
  <c r="O88" i="19"/>
  <c r="M90" i="38"/>
  <c r="M90" i="34"/>
  <c r="O88" i="34"/>
  <c r="O88" i="29"/>
  <c r="M90" i="28"/>
  <c r="M90" i="37"/>
  <c r="O88" i="31"/>
  <c r="O88" i="37"/>
  <c r="O88" i="4"/>
  <c r="M90" i="22"/>
  <c r="O88" i="22"/>
  <c r="M90" i="25"/>
  <c r="M90" i="27"/>
  <c r="M90" i="26"/>
  <c r="O88" i="26"/>
  <c r="O88" i="25"/>
  <c r="M90" i="13"/>
  <c r="O88" i="20"/>
  <c r="O88" i="18"/>
  <c r="O88" i="28"/>
  <c r="O88" i="13"/>
  <c r="O89" i="25"/>
  <c r="N90" i="25"/>
  <c r="O89" i="24"/>
  <c r="N90" i="24"/>
  <c r="O89" i="28"/>
  <c r="N90" i="28"/>
  <c r="N90" i="21"/>
  <c r="O89" i="21"/>
  <c r="N90" i="23"/>
  <c r="O89" i="23"/>
  <c r="M90" i="4"/>
  <c r="O88" i="24"/>
  <c r="N90" i="18"/>
  <c r="O89" i="18"/>
  <c r="N90" i="27"/>
  <c r="O89" i="27"/>
  <c r="N90" i="37"/>
  <c r="O89" i="37"/>
  <c r="M90" i="21"/>
  <c r="O88" i="21"/>
  <c r="O88" i="23"/>
  <c r="N90" i="31"/>
  <c r="O89" i="31"/>
  <c r="O89" i="38"/>
  <c r="O90" i="38" s="1"/>
  <c r="N90" i="38"/>
  <c r="M90" i="18"/>
  <c r="N90" i="29"/>
  <c r="O89" i="29"/>
  <c r="O89" i="13"/>
  <c r="N90" i="13"/>
  <c r="M90" i="24"/>
  <c r="O89" i="34"/>
  <c r="N90" i="34"/>
  <c r="O89" i="19"/>
  <c r="N90" i="19"/>
  <c r="N90" i="35"/>
  <c r="O89" i="35"/>
  <c r="O89" i="26"/>
  <c r="N90" i="26"/>
  <c r="N90" i="22"/>
  <c r="O89" i="22"/>
  <c r="O89" i="20"/>
  <c r="N90" i="20"/>
  <c r="O89" i="4"/>
  <c r="N90" i="4"/>
  <c r="I24" i="17"/>
  <c r="I32" i="17"/>
  <c r="I21" i="17"/>
  <c r="I19" i="17"/>
  <c r="I33" i="17"/>
  <c r="I28" i="17"/>
  <c r="I20" i="17"/>
  <c r="I25" i="17"/>
  <c r="I35" i="17"/>
  <c r="I23" i="17"/>
  <c r="I27" i="17"/>
  <c r="I34" i="17"/>
  <c r="I36" i="17"/>
  <c r="I26" i="17"/>
  <c r="I22" i="17"/>
  <c r="I30" i="17"/>
  <c r="I29" i="17"/>
  <c r="I31" i="17"/>
  <c r="O90" i="34" l="1"/>
  <c r="O90" i="27"/>
  <c r="O90" i="35"/>
  <c r="O90" i="31"/>
  <c r="O90" i="29"/>
  <c r="O90" i="4"/>
  <c r="O90" i="19"/>
  <c r="O90" i="22"/>
  <c r="O90" i="28"/>
  <c r="O90" i="25"/>
  <c r="O90" i="37"/>
  <c r="O90" i="20"/>
  <c r="O90" i="26"/>
  <c r="O90" i="18"/>
  <c r="O90" i="13"/>
  <c r="O90" i="23"/>
  <c r="O90" i="21"/>
  <c r="O90" i="24"/>
  <c r="F14" i="2" l="1"/>
  <c r="E19" i="2" s="1"/>
  <c r="F19" i="2" s="1"/>
  <c r="F20" i="2" s="1"/>
  <c r="E25" i="2" l="1"/>
  <c r="E26" i="2" s="1"/>
  <c r="E32" i="2"/>
  <c r="F53" i="2" l="1"/>
  <c r="E30" i="2"/>
  <c r="E33" i="2" s="1"/>
  <c r="E37" i="2" l="1"/>
  <c r="F54" i="2" s="1"/>
  <c r="F55" i="2" s="1"/>
  <c r="F62" i="2" s="1"/>
  <c r="F65" i="2" s="1"/>
  <c r="F67" i="2" s="1"/>
  <c r="F69" i="2" s="1"/>
  <c r="F70" i="2" s="1"/>
  <c r="F71" i="2" s="1"/>
  <c r="F56" i="2" s="1"/>
  <c r="F57" i="2" s="1"/>
  <c r="F76" i="2" l="1"/>
  <c r="F77" i="2" s="1"/>
  <c r="F59" i="2"/>
  <c r="F79" i="2" s="1"/>
  <c r="F80" i="2" s="1"/>
  <c r="F82" i="2" s="1"/>
  <c r="D30" i="17"/>
  <c r="D32" i="17"/>
  <c r="D23" i="17"/>
  <c r="D18" i="17"/>
  <c r="D34" i="17"/>
  <c r="D21" i="17"/>
  <c r="D22" i="17"/>
  <c r="D26" i="17"/>
  <c r="D28" i="17"/>
  <c r="D33" i="17"/>
  <c r="D31" i="17"/>
  <c r="D24" i="17"/>
  <c r="D25" i="17"/>
  <c r="D19" i="17"/>
  <c r="D20" i="17"/>
  <c r="D27" i="17"/>
  <c r="D29" i="17"/>
  <c r="D35" i="17"/>
  <c r="N89" i="42" l="1"/>
  <c r="L87" i="42"/>
  <c r="M89" i="42"/>
  <c r="N88" i="42"/>
  <c r="M88" i="42"/>
  <c r="M90" i="42" l="1"/>
  <c r="N88" i="40"/>
  <c r="O88" i="42"/>
  <c r="L87" i="40"/>
  <c r="M88" i="40"/>
  <c r="N90" i="42"/>
  <c r="O89" i="42"/>
  <c r="M88" i="41"/>
  <c r="L87" i="41"/>
  <c r="N88" i="41"/>
  <c r="N17" i="2" l="1"/>
  <c r="R132" i="2" s="1"/>
  <c r="O88" i="40"/>
  <c r="O17" i="2"/>
  <c r="R133" i="2" s="1"/>
  <c r="O90" i="42"/>
  <c r="O88" i="41"/>
  <c r="P17" i="2" l="1"/>
  <c r="H107" i="42" l="1"/>
  <c r="H106" i="42"/>
  <c r="H105" i="42"/>
  <c r="H104" i="42"/>
  <c r="H103" i="42"/>
  <c r="H100" i="42"/>
  <c r="H101" i="42"/>
  <c r="H102" i="42"/>
  <c r="H108" i="42"/>
  <c r="H109" i="42"/>
  <c r="H110" i="42"/>
  <c r="H111" i="42"/>
  <c r="H112" i="42"/>
  <c r="H113" i="42"/>
  <c r="H114" i="42"/>
  <c r="H115" i="42"/>
  <c r="H116" i="42"/>
  <c r="H117" i="42"/>
  <c r="H118" i="42"/>
  <c r="H119" i="42"/>
  <c r="H120" i="42"/>
  <c r="H121" i="42"/>
  <c r="H122" i="42"/>
  <c r="H123" i="42"/>
  <c r="H124" i="42"/>
  <c r="H125" i="42"/>
  <c r="H126" i="42"/>
  <c r="H127" i="42"/>
  <c r="H128" i="42"/>
  <c r="H129" i="42"/>
  <c r="H130" i="42"/>
  <c r="H131" i="42"/>
  <c r="H132" i="42"/>
  <c r="H133" i="42"/>
  <c r="H134" i="42"/>
  <c r="H135" i="42"/>
  <c r="H136" i="42"/>
  <c r="H137" i="42"/>
  <c r="H138" i="42"/>
  <c r="H139" i="42"/>
  <c r="H140" i="42"/>
  <c r="H141" i="42"/>
  <c r="H142" i="42"/>
  <c r="H143" i="42"/>
  <c r="H144" i="42"/>
  <c r="H145" i="42"/>
  <c r="H146" i="42"/>
  <c r="H147" i="42"/>
  <c r="H148" i="42"/>
  <c r="H149" i="42"/>
  <c r="H150" i="42"/>
  <c r="H151" i="42"/>
  <c r="H152" i="42"/>
  <c r="H153" i="42"/>
  <c r="H154" i="42"/>
  <c r="H155" i="42"/>
  <c r="H156" i="42" l="1"/>
  <c r="L100" i="42"/>
  <c r="M100" i="42" s="1"/>
  <c r="I155" i="42"/>
  <c r="I154" i="42"/>
  <c r="I153" i="42"/>
  <c r="I152" i="42"/>
  <c r="I151" i="42"/>
  <c r="I150" i="42"/>
  <c r="I149" i="42"/>
  <c r="I148" i="42"/>
  <c r="I147" i="42"/>
  <c r="I146" i="42"/>
  <c r="I145" i="42"/>
  <c r="I144" i="42"/>
  <c r="I143" i="42"/>
  <c r="I142" i="42"/>
  <c r="I141" i="42"/>
  <c r="I140" i="42"/>
  <c r="I139" i="42"/>
  <c r="I138" i="42"/>
  <c r="I137" i="42"/>
  <c r="I136" i="42"/>
  <c r="I135" i="42"/>
  <c r="I134" i="42"/>
  <c r="I133" i="42"/>
  <c r="I132" i="42"/>
  <c r="I131" i="42"/>
  <c r="J131" i="42" s="1"/>
  <c r="I130" i="42"/>
  <c r="J130" i="42" s="1"/>
  <c r="I129" i="42"/>
  <c r="J129" i="42" s="1"/>
  <c r="I128" i="42"/>
  <c r="J128" i="42" s="1"/>
  <c r="I127" i="42"/>
  <c r="J127" i="42" s="1"/>
  <c r="I126" i="42"/>
  <c r="J126" i="42" s="1"/>
  <c r="I125" i="42"/>
  <c r="J125" i="42" s="1"/>
  <c r="I124" i="42"/>
  <c r="J124" i="42" s="1"/>
  <c r="I123" i="42"/>
  <c r="J123" i="42" s="1"/>
  <c r="I122" i="42"/>
  <c r="J122" i="42" s="1"/>
  <c r="I121" i="42"/>
  <c r="J121" i="42" s="1"/>
  <c r="I120" i="42"/>
  <c r="J120" i="42" s="1"/>
  <c r="I119" i="42"/>
  <c r="J119" i="42" s="1"/>
  <c r="I118" i="42"/>
  <c r="J118" i="42" s="1"/>
  <c r="I117" i="42"/>
  <c r="J117" i="42" s="1"/>
  <c r="I116" i="42"/>
  <c r="J116" i="42" s="1"/>
  <c r="I115" i="42"/>
  <c r="J115" i="42" s="1"/>
  <c r="I114" i="42"/>
  <c r="J114" i="42" s="1"/>
  <c r="I113" i="42"/>
  <c r="J113" i="42" s="1"/>
  <c r="I112" i="42"/>
  <c r="J112" i="42" s="1"/>
  <c r="I111" i="42"/>
  <c r="J111" i="42" s="1"/>
  <c r="I110" i="42"/>
  <c r="J110" i="42" s="1"/>
  <c r="I109" i="42"/>
  <c r="J109" i="42" s="1"/>
  <c r="I108" i="42"/>
  <c r="J108" i="42" s="1"/>
  <c r="I107" i="42"/>
  <c r="J107" i="42" s="1"/>
  <c r="I105" i="42"/>
  <c r="J105" i="42" s="1"/>
  <c r="I103" i="42"/>
  <c r="J103" i="42" s="1"/>
  <c r="I101" i="42"/>
  <c r="J101" i="42" s="1"/>
  <c r="I106" i="42"/>
  <c r="J106" i="42" s="1"/>
  <c r="I104" i="42"/>
  <c r="J104" i="42" s="1"/>
  <c r="I102" i="42"/>
  <c r="J102" i="42" s="1"/>
  <c r="I100" i="42"/>
  <c r="G17" i="42"/>
  <c r="G18" i="42"/>
  <c r="G19" i="42"/>
  <c r="G20" i="42"/>
  <c r="G21" i="42"/>
  <c r="G22" i="42"/>
  <c r="G23" i="42"/>
  <c r="G24" i="42"/>
  <c r="G25" i="42"/>
  <c r="G26" i="42"/>
  <c r="G27" i="42"/>
  <c r="G28" i="42"/>
  <c r="G29" i="42"/>
  <c r="G30" i="42"/>
  <c r="G31" i="42"/>
  <c r="G32" i="42"/>
  <c r="G33" i="42"/>
  <c r="G34" i="42"/>
  <c r="G35" i="42"/>
  <c r="G36" i="42"/>
  <c r="G37" i="42"/>
  <c r="G38" i="42"/>
  <c r="G39" i="42"/>
  <c r="G40" i="42"/>
  <c r="G41" i="42"/>
  <c r="G42" i="42"/>
  <c r="G43" i="42"/>
  <c r="G44" i="42"/>
  <c r="G45" i="42"/>
  <c r="G46" i="42"/>
  <c r="G47" i="42"/>
  <c r="G48" i="42"/>
  <c r="G49" i="42"/>
  <c r="G50" i="42"/>
  <c r="G51" i="42"/>
  <c r="G52" i="42"/>
  <c r="G53" i="42"/>
  <c r="G54" i="42"/>
  <c r="G55" i="42"/>
  <c r="G56" i="42"/>
  <c r="G57" i="42"/>
  <c r="G58" i="42"/>
  <c r="G59" i="42"/>
  <c r="G60" i="42"/>
  <c r="G61" i="42"/>
  <c r="G62" i="42"/>
  <c r="G63" i="42"/>
  <c r="G64" i="42"/>
  <c r="G65" i="42"/>
  <c r="G66" i="42"/>
  <c r="G67" i="42"/>
  <c r="G68" i="42"/>
  <c r="G69" i="42"/>
  <c r="G70" i="42"/>
  <c r="G71" i="42"/>
  <c r="G72" i="42"/>
  <c r="G73" i="42"/>
  <c r="G74" i="42" l="1"/>
  <c r="N5" i="42"/>
  <c r="H17" i="42"/>
  <c r="H18" i="42"/>
  <c r="I18" i="42" s="1"/>
  <c r="H19" i="42"/>
  <c r="I19" i="42" s="1"/>
  <c r="H20" i="42"/>
  <c r="I20" i="42" s="1"/>
  <c r="H21" i="42"/>
  <c r="I21" i="42" s="1"/>
  <c r="H22" i="42"/>
  <c r="I22" i="42" s="1"/>
  <c r="H23" i="42"/>
  <c r="I23" i="42" s="1"/>
  <c r="H24" i="42"/>
  <c r="I24" i="42" s="1"/>
  <c r="H25" i="42"/>
  <c r="I25" i="42" s="1"/>
  <c r="H26" i="42"/>
  <c r="I26" i="42" s="1"/>
  <c r="H27" i="42"/>
  <c r="I27" i="42" s="1"/>
  <c r="H28" i="42"/>
  <c r="I28" i="42" s="1"/>
  <c r="H29" i="42"/>
  <c r="I29" i="42" s="1"/>
  <c r="H30" i="42"/>
  <c r="I30" i="42" s="1"/>
  <c r="H31" i="42"/>
  <c r="I31" i="42" s="1"/>
  <c r="H32" i="42"/>
  <c r="I32" i="42" s="1"/>
  <c r="H33" i="42"/>
  <c r="I33" i="42" s="1"/>
  <c r="H34" i="42"/>
  <c r="I34" i="42" s="1"/>
  <c r="H35" i="42"/>
  <c r="I35" i="42" s="1"/>
  <c r="H36" i="42"/>
  <c r="I36" i="42" s="1"/>
  <c r="H37" i="42"/>
  <c r="I37" i="42" s="1"/>
  <c r="H38" i="42"/>
  <c r="I38" i="42" s="1"/>
  <c r="H39" i="42"/>
  <c r="I39" i="42" s="1"/>
  <c r="H40" i="42"/>
  <c r="I40" i="42" s="1"/>
  <c r="H41" i="42"/>
  <c r="I41" i="42" s="1"/>
  <c r="H42" i="42"/>
  <c r="I42" i="42" s="1"/>
  <c r="H43" i="42"/>
  <c r="I43" i="42" s="1"/>
  <c r="H44" i="42"/>
  <c r="I44" i="42" s="1"/>
  <c r="H45" i="42"/>
  <c r="I45" i="42" s="1"/>
  <c r="H46" i="42"/>
  <c r="I46" i="42" s="1"/>
  <c r="H47" i="42"/>
  <c r="I47" i="42" s="1"/>
  <c r="H48" i="42"/>
  <c r="I48" i="42" s="1"/>
  <c r="H49" i="42"/>
  <c r="I49" i="42" s="1"/>
  <c r="H50" i="42"/>
  <c r="I50" i="42" s="1"/>
  <c r="H51" i="42"/>
  <c r="I51" i="42" s="1"/>
  <c r="H52" i="42"/>
  <c r="I52" i="42" s="1"/>
  <c r="H53" i="42"/>
  <c r="I53" i="42" s="1"/>
  <c r="H54" i="42"/>
  <c r="I54" i="42" s="1"/>
  <c r="H55" i="42"/>
  <c r="I55" i="42" s="1"/>
  <c r="H56" i="42"/>
  <c r="I56" i="42" s="1"/>
  <c r="H57" i="42"/>
  <c r="I57" i="42" s="1"/>
  <c r="H58" i="42"/>
  <c r="I58" i="42" s="1"/>
  <c r="H59" i="42"/>
  <c r="I59" i="42" s="1"/>
  <c r="H60" i="42"/>
  <c r="I60" i="42" s="1"/>
  <c r="H61" i="42"/>
  <c r="I61" i="42" s="1"/>
  <c r="H62" i="42"/>
  <c r="I62" i="42" s="1"/>
  <c r="H63" i="42"/>
  <c r="I63" i="42" s="1"/>
  <c r="H64" i="42"/>
  <c r="I64" i="42" s="1"/>
  <c r="H65" i="42"/>
  <c r="I65" i="42" s="1"/>
  <c r="H66" i="42"/>
  <c r="I66" i="42" s="1"/>
  <c r="H67" i="42"/>
  <c r="I67" i="42" s="1"/>
  <c r="H68" i="42"/>
  <c r="I68" i="42" s="1"/>
  <c r="H69" i="42"/>
  <c r="I69" i="42" s="1"/>
  <c r="H70" i="42"/>
  <c r="I70" i="42" s="1"/>
  <c r="H71" i="42"/>
  <c r="I71" i="42" s="1"/>
  <c r="H72" i="42"/>
  <c r="I72" i="42" s="1"/>
  <c r="H73" i="42"/>
  <c r="I73" i="42" s="1"/>
  <c r="I156" i="42"/>
  <c r="J100" i="42"/>
  <c r="J156" i="42" s="1"/>
  <c r="N100" i="42"/>
  <c r="O100" i="42" s="1"/>
  <c r="P100" i="42" s="1"/>
  <c r="H74" i="42" l="1"/>
  <c r="I17" i="42"/>
  <c r="I74" i="42" s="1"/>
  <c r="N6" i="42"/>
  <c r="N7" i="42" s="1"/>
  <c r="C73" i="41" l="1"/>
  <c r="C73" i="42"/>
  <c r="C73" i="40" l="1"/>
  <c r="L100" i="41" l="1"/>
  <c r="M100" i="41" s="1"/>
  <c r="L100" i="40"/>
  <c r="M100" i="40" s="1"/>
  <c r="N100" i="41"/>
  <c r="O100" i="41" s="1"/>
  <c r="J100" i="41"/>
  <c r="J100" i="40"/>
  <c r="N100" i="40"/>
  <c r="O100" i="40" s="1"/>
  <c r="P100" i="40" l="1"/>
  <c r="P100" i="41"/>
  <c r="N5" i="41"/>
  <c r="B18" i="41"/>
  <c r="I17" i="41"/>
  <c r="N6" i="41"/>
  <c r="N7" i="41" l="1"/>
  <c r="L22" i="17"/>
  <c r="V22" i="17" s="1"/>
  <c r="N5" i="40"/>
  <c r="M19" i="1" s="1"/>
  <c r="B18" i="40"/>
  <c r="I17" i="40"/>
  <c r="N6" i="40"/>
  <c r="I18" i="41" l="1"/>
  <c r="M20" i="1"/>
  <c r="R128" i="1"/>
  <c r="N7" i="40"/>
  <c r="N19" i="1"/>
  <c r="R129" i="1" l="1"/>
  <c r="O19" i="1"/>
  <c r="N20" i="1"/>
  <c r="I18" i="40"/>
  <c r="J41" i="17" l="1"/>
  <c r="F42" i="17"/>
  <c r="R130" i="1"/>
  <c r="O20" i="1"/>
  <c r="D93" i="39" l="1"/>
  <c r="D93" i="41"/>
  <c r="D93" i="40"/>
  <c r="J97" i="41" l="1"/>
  <c r="D101" i="41"/>
  <c r="J97" i="40"/>
  <c r="D101" i="40"/>
  <c r="J97" i="39"/>
  <c r="D103" i="39"/>
  <c r="I14" i="41"/>
  <c r="D19" i="41"/>
  <c r="I14" i="40"/>
  <c r="D19" i="40"/>
  <c r="I14" i="39"/>
  <c r="D21" i="39"/>
  <c r="B101" i="41" l="1"/>
  <c r="E101" i="41"/>
  <c r="F101" i="41" s="1"/>
  <c r="B101" i="40"/>
  <c r="E101" i="40"/>
  <c r="F101" i="40" s="1"/>
  <c r="B103" i="39"/>
  <c r="E103" i="39"/>
  <c r="F103" i="39" s="1"/>
  <c r="B19" i="41"/>
  <c r="E19" i="41"/>
  <c r="F19" i="41" s="1"/>
  <c r="B19" i="40"/>
  <c r="E19" i="40"/>
  <c r="F19" i="40" s="1"/>
  <c r="B21" i="39"/>
  <c r="E21" i="39"/>
  <c r="F21" i="39" s="1"/>
  <c r="H101" i="41" l="1"/>
  <c r="M89" i="41" s="1"/>
  <c r="M90" i="41" s="1"/>
  <c r="G101" i="41"/>
  <c r="I101" i="41" s="1"/>
  <c r="D102" i="41"/>
  <c r="E102" i="41"/>
  <c r="H101" i="40"/>
  <c r="M89" i="40" s="1"/>
  <c r="G101" i="40"/>
  <c r="I101" i="40" s="1"/>
  <c r="N89" i="40" s="1"/>
  <c r="N90" i="40" s="1"/>
  <c r="D102" i="40"/>
  <c r="B102" i="40" s="1"/>
  <c r="E102" i="40"/>
  <c r="H103" i="39"/>
  <c r="M89" i="39" s="1"/>
  <c r="D104" i="39"/>
  <c r="G103" i="39"/>
  <c r="I103" i="39" s="1"/>
  <c r="N89" i="39" s="1"/>
  <c r="E104" i="39"/>
  <c r="G19" i="41"/>
  <c r="D20" i="41"/>
  <c r="H19" i="41"/>
  <c r="E20" i="41"/>
  <c r="H19" i="40"/>
  <c r="D20" i="40"/>
  <c r="G19" i="40"/>
  <c r="E20" i="40"/>
  <c r="G21" i="39"/>
  <c r="D22" i="39"/>
  <c r="H21" i="39"/>
  <c r="E22" i="39"/>
  <c r="I39" i="17"/>
  <c r="O89" i="39" l="1"/>
  <c r="O90" i="39" s="1"/>
  <c r="N90" i="39"/>
  <c r="J101" i="41"/>
  <c r="N89" i="41"/>
  <c r="O89" i="40"/>
  <c r="O90" i="40" s="1"/>
  <c r="M90" i="40"/>
  <c r="M90" i="39"/>
  <c r="N18" i="2"/>
  <c r="F102" i="41"/>
  <c r="G102" i="41" s="1"/>
  <c r="I102" i="41" s="1"/>
  <c r="J103" i="39"/>
  <c r="F102" i="40"/>
  <c r="D103" i="40" s="1"/>
  <c r="B103" i="40" s="1"/>
  <c r="B102" i="41"/>
  <c r="J101" i="40"/>
  <c r="F104" i="39"/>
  <c r="B104" i="39"/>
  <c r="I19" i="40"/>
  <c r="F20" i="41"/>
  <c r="G20" i="41" s="1"/>
  <c r="B20" i="41"/>
  <c r="I19" i="41"/>
  <c r="B20" i="40"/>
  <c r="F20" i="40"/>
  <c r="G20" i="40" s="1"/>
  <c r="B22" i="39"/>
  <c r="F22" i="39"/>
  <c r="H22" i="39" s="1"/>
  <c r="I21" i="39"/>
  <c r="I37" i="17"/>
  <c r="I38" i="17"/>
  <c r="H102" i="41" l="1"/>
  <c r="J102" i="41" s="1"/>
  <c r="E103" i="41"/>
  <c r="D103" i="41"/>
  <c r="B103" i="41" s="1"/>
  <c r="I41" i="17"/>
  <c r="O18" i="2"/>
  <c r="N90" i="41"/>
  <c r="O89" i="41"/>
  <c r="O90" i="41" s="1"/>
  <c r="N28" i="2"/>
  <c r="N29" i="2" s="1"/>
  <c r="N19" i="2"/>
  <c r="N20" i="2" s="1"/>
  <c r="R134" i="2"/>
  <c r="G102" i="40"/>
  <c r="I102" i="40" s="1"/>
  <c r="H102" i="40"/>
  <c r="E103" i="40"/>
  <c r="F103" i="40" s="1"/>
  <c r="G103" i="40" s="1"/>
  <c r="H104" i="39"/>
  <c r="G104" i="39"/>
  <c r="I104" i="39" s="1"/>
  <c r="D105" i="39"/>
  <c r="E105" i="39"/>
  <c r="H20" i="41"/>
  <c r="D21" i="41"/>
  <c r="E21" i="41"/>
  <c r="H20" i="40"/>
  <c r="D21" i="40"/>
  <c r="E21" i="40"/>
  <c r="G22" i="39"/>
  <c r="I22" i="39" s="1"/>
  <c r="D23" i="39"/>
  <c r="E23" i="39"/>
  <c r="F103" i="41" l="1"/>
  <c r="R135" i="2"/>
  <c r="O19" i="2"/>
  <c r="O20" i="2" s="1"/>
  <c r="P18" i="2"/>
  <c r="P19" i="2" s="1"/>
  <c r="P20" i="2" s="1"/>
  <c r="J102" i="40"/>
  <c r="E104" i="40"/>
  <c r="D104" i="40"/>
  <c r="J104" i="39"/>
  <c r="H103" i="40"/>
  <c r="I103" i="40"/>
  <c r="F105" i="39"/>
  <c r="B105" i="39"/>
  <c r="F21" i="41"/>
  <c r="G21" i="41" s="1"/>
  <c r="B21" i="41"/>
  <c r="I20" i="41"/>
  <c r="B21" i="40"/>
  <c r="F21" i="40"/>
  <c r="G21" i="40" s="1"/>
  <c r="I20" i="40"/>
  <c r="F23" i="39"/>
  <c r="G23" i="39" s="1"/>
  <c r="B23" i="39"/>
  <c r="E104" i="41" l="1"/>
  <c r="G103" i="41"/>
  <c r="D104" i="41"/>
  <c r="F104" i="40"/>
  <c r="G104" i="40" s="1"/>
  <c r="B104" i="40"/>
  <c r="J103" i="40"/>
  <c r="H21" i="41"/>
  <c r="I21" i="41" s="1"/>
  <c r="H105" i="39"/>
  <c r="D106" i="39"/>
  <c r="G105" i="39"/>
  <c r="I105" i="39" s="1"/>
  <c r="E106" i="39"/>
  <c r="H21" i="40"/>
  <c r="I21" i="40" s="1"/>
  <c r="D22" i="41"/>
  <c r="E22" i="41"/>
  <c r="D22" i="40"/>
  <c r="E22" i="40"/>
  <c r="H23" i="39"/>
  <c r="D24" i="39"/>
  <c r="E24" i="39"/>
  <c r="D105" i="40" l="1"/>
  <c r="B105" i="40" s="1"/>
  <c r="E105" i="40"/>
  <c r="B104" i="41"/>
  <c r="F104" i="41"/>
  <c r="H103" i="41"/>
  <c r="I103" i="41"/>
  <c r="J105" i="39"/>
  <c r="H104" i="40"/>
  <c r="I104" i="40"/>
  <c r="B106" i="39"/>
  <c r="F106" i="39"/>
  <c r="F22" i="41"/>
  <c r="H22" i="41" s="1"/>
  <c r="B22" i="41"/>
  <c r="B22" i="40"/>
  <c r="F22" i="40"/>
  <c r="G22" i="40" s="1"/>
  <c r="F24" i="39"/>
  <c r="H24" i="39" s="1"/>
  <c r="B24" i="39"/>
  <c r="I23" i="39"/>
  <c r="F105" i="40" l="1"/>
  <c r="G105" i="40" s="1"/>
  <c r="J103" i="41"/>
  <c r="G104" i="41"/>
  <c r="D105" i="41"/>
  <c r="E105" i="41"/>
  <c r="J104" i="40"/>
  <c r="H106" i="39"/>
  <c r="D107" i="39"/>
  <c r="G106" i="39"/>
  <c r="I106" i="39" s="1"/>
  <c r="E107" i="39"/>
  <c r="G22" i="41"/>
  <c r="I22" i="41" s="1"/>
  <c r="D23" i="41"/>
  <c r="E23" i="41"/>
  <c r="H22" i="40"/>
  <c r="I22" i="40" s="1"/>
  <c r="D23" i="40"/>
  <c r="E23" i="40"/>
  <c r="G24" i="39"/>
  <c r="I24" i="39" s="1"/>
  <c r="D25" i="39"/>
  <c r="E25" i="39"/>
  <c r="E106" i="40" l="1"/>
  <c r="D106" i="40"/>
  <c r="B106" i="40" s="1"/>
  <c r="B105" i="41"/>
  <c r="F105" i="41"/>
  <c r="H104" i="41"/>
  <c r="I104" i="41"/>
  <c r="J106" i="39"/>
  <c r="I105" i="40"/>
  <c r="H105" i="40"/>
  <c r="F107" i="39"/>
  <c r="B107" i="39"/>
  <c r="F23" i="41"/>
  <c r="H23" i="41" s="1"/>
  <c r="B23" i="41"/>
  <c r="F23" i="40"/>
  <c r="H23" i="40" s="1"/>
  <c r="B23" i="40"/>
  <c r="F25" i="39"/>
  <c r="H25" i="39" s="1"/>
  <c r="B25" i="39"/>
  <c r="F106" i="40" l="1"/>
  <c r="J104" i="41"/>
  <c r="G105" i="41"/>
  <c r="E106" i="41"/>
  <c r="D106" i="41"/>
  <c r="J105" i="40"/>
  <c r="D107" i="40"/>
  <c r="B107" i="40" s="1"/>
  <c r="G106" i="40"/>
  <c r="E107" i="40"/>
  <c r="H107" i="39"/>
  <c r="D108" i="39"/>
  <c r="G107" i="39"/>
  <c r="I107" i="39" s="1"/>
  <c r="E108" i="39"/>
  <c r="G23" i="41"/>
  <c r="I23" i="41" s="1"/>
  <c r="D24" i="41"/>
  <c r="E24" i="41"/>
  <c r="G23" i="40"/>
  <c r="I23" i="40" s="1"/>
  <c r="D24" i="40"/>
  <c r="E24" i="40"/>
  <c r="G25" i="39"/>
  <c r="I25" i="39" s="1"/>
  <c r="D26" i="39"/>
  <c r="E26" i="39"/>
  <c r="B106" i="41" l="1"/>
  <c r="F106" i="41"/>
  <c r="H105" i="41"/>
  <c r="I105" i="41"/>
  <c r="F107" i="40"/>
  <c r="G107" i="40" s="1"/>
  <c r="J107" i="39"/>
  <c r="H106" i="40"/>
  <c r="I106" i="40"/>
  <c r="F108" i="39"/>
  <c r="B108" i="39"/>
  <c r="F24" i="41"/>
  <c r="H24" i="41" s="1"/>
  <c r="B24" i="41"/>
  <c r="F24" i="40"/>
  <c r="G24" i="40" s="1"/>
  <c r="B24" i="40"/>
  <c r="B26" i="39"/>
  <c r="F26" i="39"/>
  <c r="G26" i="39" s="1"/>
  <c r="J105" i="41" l="1"/>
  <c r="E108" i="40"/>
  <c r="D107" i="41"/>
  <c r="G106" i="41"/>
  <c r="E107" i="41"/>
  <c r="D108" i="40"/>
  <c r="B108" i="40" s="1"/>
  <c r="J106" i="40"/>
  <c r="G24" i="41"/>
  <c r="I24" i="41" s="1"/>
  <c r="H107" i="40"/>
  <c r="I107" i="40"/>
  <c r="H108" i="39"/>
  <c r="D109" i="39"/>
  <c r="G108" i="39"/>
  <c r="I108" i="39" s="1"/>
  <c r="E109" i="39"/>
  <c r="D25" i="41"/>
  <c r="E25" i="41"/>
  <c r="H24" i="40"/>
  <c r="I24" i="40" s="1"/>
  <c r="D25" i="40"/>
  <c r="E25" i="40"/>
  <c r="H26" i="39"/>
  <c r="I26" i="39" s="1"/>
  <c r="D27" i="39"/>
  <c r="E27" i="39"/>
  <c r="H106" i="41" l="1"/>
  <c r="I106" i="41"/>
  <c r="B107" i="41"/>
  <c r="F107" i="41"/>
  <c r="F108" i="40"/>
  <c r="D109" i="40" s="1"/>
  <c r="B109" i="40" s="1"/>
  <c r="J107" i="40"/>
  <c r="J108" i="39"/>
  <c r="B109" i="39"/>
  <c r="F109" i="39"/>
  <c r="F25" i="41"/>
  <c r="H25" i="41" s="1"/>
  <c r="B25" i="41"/>
  <c r="B25" i="40"/>
  <c r="F25" i="40"/>
  <c r="G25" i="40" s="1"/>
  <c r="B27" i="39"/>
  <c r="F27" i="39"/>
  <c r="H27" i="39" s="1"/>
  <c r="J106" i="41" l="1"/>
  <c r="G107" i="41"/>
  <c r="D108" i="41"/>
  <c r="E108" i="41"/>
  <c r="G108" i="40"/>
  <c r="I108" i="40" s="1"/>
  <c r="E109" i="40"/>
  <c r="F109" i="40" s="1"/>
  <c r="H108" i="40"/>
  <c r="G25" i="41"/>
  <c r="I25" i="41" s="1"/>
  <c r="H109" i="39"/>
  <c r="D110" i="39"/>
  <c r="G109" i="39"/>
  <c r="I109" i="39" s="1"/>
  <c r="E110" i="39"/>
  <c r="H25" i="40"/>
  <c r="I25" i="40" s="1"/>
  <c r="D26" i="41"/>
  <c r="E26" i="41"/>
  <c r="D26" i="40"/>
  <c r="E26" i="40"/>
  <c r="G27" i="39"/>
  <c r="I27" i="39" s="1"/>
  <c r="D28" i="39"/>
  <c r="E28" i="39"/>
  <c r="B108" i="41" l="1"/>
  <c r="F108" i="41"/>
  <c r="H108" i="41" s="1"/>
  <c r="H107" i="41"/>
  <c r="I107" i="41"/>
  <c r="J108" i="40"/>
  <c r="E110" i="40"/>
  <c r="D110" i="40"/>
  <c r="H109" i="40"/>
  <c r="G109" i="40"/>
  <c r="I109" i="40" s="1"/>
  <c r="J109" i="39"/>
  <c r="B110" i="39"/>
  <c r="F110" i="39"/>
  <c r="B26" i="41"/>
  <c r="F26" i="41"/>
  <c r="H26" i="41" s="1"/>
  <c r="F26" i="40"/>
  <c r="H26" i="40" s="1"/>
  <c r="B26" i="40"/>
  <c r="F28" i="39"/>
  <c r="G28" i="39" s="1"/>
  <c r="B28" i="39"/>
  <c r="J107" i="41" l="1"/>
  <c r="G108" i="41"/>
  <c r="I108" i="41" s="1"/>
  <c r="J108" i="41" s="1"/>
  <c r="D109" i="41"/>
  <c r="E109" i="41"/>
  <c r="J109" i="40"/>
  <c r="B110" i="40"/>
  <c r="F110" i="40"/>
  <c r="H110" i="39"/>
  <c r="G110" i="39"/>
  <c r="I110" i="39" s="1"/>
  <c r="D111" i="39"/>
  <c r="E111" i="39"/>
  <c r="G26" i="41"/>
  <c r="I26" i="41" s="1"/>
  <c r="D27" i="41"/>
  <c r="E27" i="41"/>
  <c r="G26" i="40"/>
  <c r="I26" i="40" s="1"/>
  <c r="D27" i="40"/>
  <c r="E27" i="40"/>
  <c r="H28" i="39"/>
  <c r="I28" i="39" s="1"/>
  <c r="D29" i="39"/>
  <c r="E29" i="39"/>
  <c r="B109" i="41" l="1"/>
  <c r="F109" i="41"/>
  <c r="D111" i="40"/>
  <c r="G110" i="40"/>
  <c r="I110" i="40" s="1"/>
  <c r="E111" i="40"/>
  <c r="H110" i="40"/>
  <c r="J110" i="39"/>
  <c r="B111" i="39"/>
  <c r="F111" i="39"/>
  <c r="F27" i="41"/>
  <c r="G27" i="41" s="1"/>
  <c r="B27" i="41"/>
  <c r="B27" i="40"/>
  <c r="F27" i="40"/>
  <c r="G27" i="40" s="1"/>
  <c r="F29" i="39"/>
  <c r="H29" i="39" s="1"/>
  <c r="B29" i="39"/>
  <c r="H109" i="41" l="1"/>
  <c r="E110" i="41"/>
  <c r="G109" i="41"/>
  <c r="I109" i="41" s="1"/>
  <c r="D110" i="41"/>
  <c r="J110" i="40"/>
  <c r="B111" i="40"/>
  <c r="F111" i="40"/>
  <c r="H111" i="40" s="1"/>
  <c r="H111" i="39"/>
  <c r="D112" i="39"/>
  <c r="G111" i="39"/>
  <c r="I111" i="39" s="1"/>
  <c r="E112" i="39"/>
  <c r="H27" i="40"/>
  <c r="I27" i="40" s="1"/>
  <c r="H27" i="41"/>
  <c r="I27" i="41" s="1"/>
  <c r="D28" i="41"/>
  <c r="E28" i="41"/>
  <c r="D28" i="40"/>
  <c r="E28" i="40"/>
  <c r="G29" i="39"/>
  <c r="I29" i="39" s="1"/>
  <c r="D30" i="39"/>
  <c r="E30" i="39"/>
  <c r="J109" i="41" l="1"/>
  <c r="J111" i="39"/>
  <c r="B110" i="41"/>
  <c r="F110" i="41"/>
  <c r="G111" i="40"/>
  <c r="I111" i="40" s="1"/>
  <c r="J111" i="40" s="1"/>
  <c r="D112" i="40"/>
  <c r="E112" i="40"/>
  <c r="F112" i="39"/>
  <c r="B112" i="39"/>
  <c r="F28" i="41"/>
  <c r="G28" i="41" s="1"/>
  <c r="B28" i="41"/>
  <c r="F28" i="40"/>
  <c r="H28" i="40" s="1"/>
  <c r="B28" i="40"/>
  <c r="F30" i="39"/>
  <c r="H30" i="39" s="1"/>
  <c r="B30" i="39"/>
  <c r="G110" i="41" l="1"/>
  <c r="I110" i="41" s="1"/>
  <c r="E111" i="41"/>
  <c r="D111" i="41"/>
  <c r="H110" i="41"/>
  <c r="B112" i="40"/>
  <c r="F112" i="40"/>
  <c r="H112" i="40" s="1"/>
  <c r="H112" i="39"/>
  <c r="D113" i="39"/>
  <c r="G112" i="39"/>
  <c r="I112" i="39" s="1"/>
  <c r="E113" i="39"/>
  <c r="H28" i="41"/>
  <c r="I28" i="41" s="1"/>
  <c r="D29" i="41"/>
  <c r="E29" i="41"/>
  <c r="G28" i="40"/>
  <c r="I28" i="40" s="1"/>
  <c r="D29" i="40"/>
  <c r="E29" i="40"/>
  <c r="G30" i="39"/>
  <c r="I30" i="39" s="1"/>
  <c r="D31" i="39"/>
  <c r="E31" i="39"/>
  <c r="B111" i="41" l="1"/>
  <c r="F111" i="41"/>
  <c r="H111" i="41" s="1"/>
  <c r="J110" i="41"/>
  <c r="J112" i="39"/>
  <c r="D113" i="40"/>
  <c r="B113" i="40" s="1"/>
  <c r="E113" i="40"/>
  <c r="G112" i="40"/>
  <c r="I112" i="40" s="1"/>
  <c r="J112" i="40" s="1"/>
  <c r="F113" i="39"/>
  <c r="B113" i="39"/>
  <c r="F29" i="41"/>
  <c r="H29" i="41" s="1"/>
  <c r="B29" i="41"/>
  <c r="F29" i="40"/>
  <c r="H29" i="40" s="1"/>
  <c r="B29" i="40"/>
  <c r="B31" i="39"/>
  <c r="F31" i="39"/>
  <c r="G31" i="39" s="1"/>
  <c r="G29" i="41" l="1"/>
  <c r="I29" i="41" s="1"/>
  <c r="E112" i="41"/>
  <c r="G111" i="41"/>
  <c r="I111" i="41" s="1"/>
  <c r="J111" i="41" s="1"/>
  <c r="D112" i="41"/>
  <c r="F113" i="40"/>
  <c r="G113" i="40" s="1"/>
  <c r="I113" i="40" s="1"/>
  <c r="H113" i="39"/>
  <c r="G113" i="39"/>
  <c r="I113" i="39" s="1"/>
  <c r="D114" i="39"/>
  <c r="E114" i="39"/>
  <c r="D30" i="41"/>
  <c r="E30" i="41"/>
  <c r="G29" i="40"/>
  <c r="I29" i="40" s="1"/>
  <c r="D30" i="40"/>
  <c r="E30" i="40"/>
  <c r="H31" i="39"/>
  <c r="I31" i="39" s="1"/>
  <c r="D32" i="39"/>
  <c r="E32" i="39"/>
  <c r="J113" i="39" l="1"/>
  <c r="E114" i="40"/>
  <c r="H113" i="40"/>
  <c r="J113" i="40" s="1"/>
  <c r="B112" i="41"/>
  <c r="F112" i="41"/>
  <c r="H112" i="41" s="1"/>
  <c r="D114" i="40"/>
  <c r="B114" i="40" s="1"/>
  <c r="F114" i="39"/>
  <c r="B114" i="39"/>
  <c r="F30" i="41"/>
  <c r="H30" i="41" s="1"/>
  <c r="B30" i="41"/>
  <c r="F30" i="40"/>
  <c r="H30" i="40" s="1"/>
  <c r="B30" i="40"/>
  <c r="F32" i="39"/>
  <c r="G32" i="39" s="1"/>
  <c r="B32" i="39"/>
  <c r="F114" i="40" l="1"/>
  <c r="G112" i="41"/>
  <c r="I112" i="41" s="1"/>
  <c r="J112" i="41" s="1"/>
  <c r="D113" i="41"/>
  <c r="E113" i="41"/>
  <c r="H114" i="40"/>
  <c r="D115" i="40"/>
  <c r="G114" i="40"/>
  <c r="I114" i="40" s="1"/>
  <c r="E115" i="40"/>
  <c r="H114" i="39"/>
  <c r="D115" i="39"/>
  <c r="G114" i="39"/>
  <c r="I114" i="39" s="1"/>
  <c r="E115" i="39"/>
  <c r="G30" i="40"/>
  <c r="I30" i="40" s="1"/>
  <c r="G30" i="41"/>
  <c r="I30" i="41" s="1"/>
  <c r="D31" i="41"/>
  <c r="E31" i="41"/>
  <c r="D31" i="40"/>
  <c r="E31" i="40"/>
  <c r="H32" i="39"/>
  <c r="I32" i="39" s="1"/>
  <c r="D33" i="39"/>
  <c r="E33" i="39"/>
  <c r="J114" i="39" l="1"/>
  <c r="J114" i="40"/>
  <c r="B113" i="41"/>
  <c r="F113" i="41"/>
  <c r="F115" i="40"/>
  <c r="H115" i="40" s="1"/>
  <c r="B115" i="40"/>
  <c r="B115" i="39"/>
  <c r="F115" i="39"/>
  <c r="F31" i="41"/>
  <c r="H31" i="41" s="1"/>
  <c r="B31" i="41"/>
  <c r="B31" i="40"/>
  <c r="F31" i="40"/>
  <c r="H31" i="40" s="1"/>
  <c r="F33" i="39"/>
  <c r="G33" i="39" s="1"/>
  <c r="B33" i="39"/>
  <c r="H113" i="41" l="1"/>
  <c r="D114" i="41"/>
  <c r="E114" i="41"/>
  <c r="G113" i="41"/>
  <c r="I113" i="41" s="1"/>
  <c r="D116" i="40"/>
  <c r="G115" i="40"/>
  <c r="I115" i="40" s="1"/>
  <c r="J115" i="40" s="1"/>
  <c r="E116" i="40"/>
  <c r="H115" i="39"/>
  <c r="D116" i="39"/>
  <c r="G115" i="39"/>
  <c r="I115" i="39" s="1"/>
  <c r="E116" i="39"/>
  <c r="G31" i="41"/>
  <c r="I31" i="41" s="1"/>
  <c r="D32" i="41"/>
  <c r="E32" i="41"/>
  <c r="G31" i="40"/>
  <c r="I31" i="40" s="1"/>
  <c r="D32" i="40"/>
  <c r="E32" i="40"/>
  <c r="H33" i="39"/>
  <c r="I33" i="39" s="1"/>
  <c r="D34" i="39"/>
  <c r="E34" i="39"/>
  <c r="J113" i="41" l="1"/>
  <c r="B114" i="41"/>
  <c r="F114" i="41"/>
  <c r="H114" i="41" s="1"/>
  <c r="J115" i="39"/>
  <c r="B116" i="40"/>
  <c r="F116" i="40"/>
  <c r="F116" i="39"/>
  <c r="B116" i="39"/>
  <c r="B32" i="41"/>
  <c r="F32" i="41"/>
  <c r="G32" i="41" s="1"/>
  <c r="F32" i="40"/>
  <c r="G32" i="40" s="1"/>
  <c r="B32" i="40"/>
  <c r="B34" i="39"/>
  <c r="F34" i="39"/>
  <c r="G34" i="39" s="1"/>
  <c r="G114" i="41" l="1"/>
  <c r="I114" i="41" s="1"/>
  <c r="J114" i="41" s="1"/>
  <c r="E115" i="41"/>
  <c r="D115" i="41"/>
  <c r="G116" i="40"/>
  <c r="I116" i="40" s="1"/>
  <c r="D117" i="40"/>
  <c r="E117" i="40"/>
  <c r="H116" i="40"/>
  <c r="H116" i="39"/>
  <c r="D117" i="39"/>
  <c r="G116" i="39"/>
  <c r="I116" i="39" s="1"/>
  <c r="E117" i="39"/>
  <c r="H32" i="41"/>
  <c r="I32" i="41" s="1"/>
  <c r="D33" i="41"/>
  <c r="E33" i="41"/>
  <c r="H32" i="40"/>
  <c r="I32" i="40" s="1"/>
  <c r="D33" i="40"/>
  <c r="E33" i="40"/>
  <c r="H34" i="39"/>
  <c r="I34" i="39" s="1"/>
  <c r="D35" i="39"/>
  <c r="E35" i="39"/>
  <c r="J116" i="39" l="1"/>
  <c r="B115" i="41"/>
  <c r="F115" i="41"/>
  <c r="H115" i="41" s="1"/>
  <c r="B117" i="40"/>
  <c r="F117" i="40"/>
  <c r="H117" i="40" s="1"/>
  <c r="J116" i="40"/>
  <c r="F117" i="39"/>
  <c r="B117" i="39"/>
  <c r="F33" i="41"/>
  <c r="H33" i="41" s="1"/>
  <c r="B33" i="41"/>
  <c r="F33" i="40"/>
  <c r="G33" i="40" s="1"/>
  <c r="B33" i="40"/>
  <c r="B35" i="39"/>
  <c r="F35" i="39"/>
  <c r="H35" i="39" s="1"/>
  <c r="D116" i="41" l="1"/>
  <c r="G115" i="41"/>
  <c r="I115" i="41" s="1"/>
  <c r="J115" i="41" s="1"/>
  <c r="E116" i="41"/>
  <c r="G117" i="40"/>
  <c r="I117" i="40" s="1"/>
  <c r="J117" i="40" s="1"/>
  <c r="D118" i="40"/>
  <c r="E118" i="40"/>
  <c r="G33" i="41"/>
  <c r="I33" i="41" s="1"/>
  <c r="H117" i="39"/>
  <c r="D118" i="39"/>
  <c r="G117" i="39"/>
  <c r="I117" i="39" s="1"/>
  <c r="E118" i="39"/>
  <c r="G35" i="39"/>
  <c r="I35" i="39" s="1"/>
  <c r="D34" i="41"/>
  <c r="E34" i="41"/>
  <c r="H33" i="40"/>
  <c r="I33" i="40" s="1"/>
  <c r="D34" i="40"/>
  <c r="E34" i="40"/>
  <c r="D36" i="39"/>
  <c r="E36" i="39"/>
  <c r="B116" i="41" l="1"/>
  <c r="F116" i="41"/>
  <c r="H116" i="41" s="1"/>
  <c r="B118" i="40"/>
  <c r="F118" i="40"/>
  <c r="H118" i="40" s="1"/>
  <c r="J117" i="39"/>
  <c r="F118" i="39"/>
  <c r="B118" i="39"/>
  <c r="F34" i="41"/>
  <c r="H34" i="41" s="1"/>
  <c r="B34" i="41"/>
  <c r="B34" i="40"/>
  <c r="F34" i="40"/>
  <c r="H34" i="40" s="1"/>
  <c r="F36" i="39"/>
  <c r="G36" i="39" s="1"/>
  <c r="B36" i="39"/>
  <c r="G116" i="41" l="1"/>
  <c r="I116" i="41" s="1"/>
  <c r="J116" i="41" s="1"/>
  <c r="D117" i="41"/>
  <c r="E117" i="41"/>
  <c r="D119" i="40"/>
  <c r="G118" i="40"/>
  <c r="I118" i="40" s="1"/>
  <c r="J118" i="40" s="1"/>
  <c r="E119" i="40"/>
  <c r="H118" i="39"/>
  <c r="G118" i="39"/>
  <c r="I118" i="39" s="1"/>
  <c r="D119" i="39"/>
  <c r="E119" i="39"/>
  <c r="G34" i="40"/>
  <c r="I34" i="40" s="1"/>
  <c r="G34" i="41"/>
  <c r="I34" i="41" s="1"/>
  <c r="D35" i="41"/>
  <c r="E35" i="41"/>
  <c r="D35" i="40"/>
  <c r="E35" i="40"/>
  <c r="H36" i="39"/>
  <c r="I36" i="39" s="1"/>
  <c r="D37" i="39"/>
  <c r="E37" i="39"/>
  <c r="J118" i="39" l="1"/>
  <c r="B117" i="41"/>
  <c r="F117" i="41"/>
  <c r="H117" i="41" s="1"/>
  <c r="F119" i="40"/>
  <c r="B119" i="40"/>
  <c r="F119" i="39"/>
  <c r="B119" i="39"/>
  <c r="F35" i="41"/>
  <c r="G35" i="41" s="1"/>
  <c r="B35" i="41"/>
  <c r="F35" i="40"/>
  <c r="H35" i="40" s="1"/>
  <c r="B35" i="40"/>
  <c r="B37" i="39"/>
  <c r="F37" i="39"/>
  <c r="H37" i="39" s="1"/>
  <c r="E118" i="41" l="1"/>
  <c r="D118" i="41"/>
  <c r="G117" i="41"/>
  <c r="I117" i="41" s="1"/>
  <c r="J117" i="41" s="1"/>
  <c r="H119" i="40"/>
  <c r="G119" i="40"/>
  <c r="I119" i="40" s="1"/>
  <c r="D120" i="40"/>
  <c r="E120" i="40"/>
  <c r="H119" i="39"/>
  <c r="G119" i="39"/>
  <c r="I119" i="39" s="1"/>
  <c r="D120" i="39"/>
  <c r="G35" i="40"/>
  <c r="I35" i="40" s="1"/>
  <c r="H35" i="41"/>
  <c r="I35" i="41" s="1"/>
  <c r="D36" i="41"/>
  <c r="E36" i="41"/>
  <c r="D36" i="40"/>
  <c r="E36" i="40"/>
  <c r="G37" i="39"/>
  <c r="I37" i="39" s="1"/>
  <c r="D38" i="39"/>
  <c r="E38" i="39"/>
  <c r="B118" i="41" l="1"/>
  <c r="F118" i="41"/>
  <c r="B120" i="40"/>
  <c r="F120" i="40"/>
  <c r="H120" i="40" s="1"/>
  <c r="J119" i="40"/>
  <c r="J119" i="39"/>
  <c r="E120" i="39"/>
  <c r="F120" i="39" s="1"/>
  <c r="B120" i="39"/>
  <c r="F36" i="41"/>
  <c r="H36" i="41" s="1"/>
  <c r="B36" i="41"/>
  <c r="F36" i="40"/>
  <c r="B36" i="40"/>
  <c r="B38" i="39"/>
  <c r="F38" i="39"/>
  <c r="H38" i="39" s="1"/>
  <c r="G118" i="41" l="1"/>
  <c r="I118" i="41" s="1"/>
  <c r="E119" i="41"/>
  <c r="D119" i="41"/>
  <c r="H118" i="41"/>
  <c r="D121" i="40"/>
  <c r="E121" i="40" s="1"/>
  <c r="F121" i="40" s="1"/>
  <c r="G120" i="40"/>
  <c r="I120" i="40" s="1"/>
  <c r="J120" i="40" s="1"/>
  <c r="H120" i="39"/>
  <c r="G120" i="39"/>
  <c r="I120" i="39" s="1"/>
  <c r="D121" i="39"/>
  <c r="D37" i="41"/>
  <c r="E37" i="41"/>
  <c r="G36" i="41"/>
  <c r="I36" i="41" s="1"/>
  <c r="G36" i="40"/>
  <c r="D37" i="40"/>
  <c r="E37" i="40"/>
  <c r="H36" i="40"/>
  <c r="G38" i="39"/>
  <c r="I38" i="39" s="1"/>
  <c r="D39" i="39"/>
  <c r="E39" i="39"/>
  <c r="F119" i="41" l="1"/>
  <c r="H119" i="41" s="1"/>
  <c r="B119" i="41"/>
  <c r="J118" i="41"/>
  <c r="J120" i="39"/>
  <c r="D122" i="40"/>
  <c r="E122" i="40" s="1"/>
  <c r="F122" i="40" s="1"/>
  <c r="G121" i="40"/>
  <c r="I121" i="40" s="1"/>
  <c r="B121" i="40"/>
  <c r="H121" i="40"/>
  <c r="E121" i="39"/>
  <c r="F121" i="39" s="1"/>
  <c r="B121" i="39"/>
  <c r="B37" i="41"/>
  <c r="F37" i="41"/>
  <c r="H37" i="41" s="1"/>
  <c r="I36" i="40"/>
  <c r="F37" i="40"/>
  <c r="G37" i="40" s="1"/>
  <c r="B37" i="40"/>
  <c r="F39" i="39"/>
  <c r="H39" i="39" s="1"/>
  <c r="B39" i="39"/>
  <c r="E120" i="41" l="1"/>
  <c r="G119" i="41"/>
  <c r="I119" i="41" s="1"/>
  <c r="J119" i="41" s="1"/>
  <c r="D120" i="41"/>
  <c r="D123" i="40"/>
  <c r="B123" i="40" s="1"/>
  <c r="G122" i="40"/>
  <c r="I122" i="40" s="1"/>
  <c r="J121" i="40"/>
  <c r="B122" i="40"/>
  <c r="H122" i="40"/>
  <c r="H121" i="39"/>
  <c r="G121" i="39"/>
  <c r="I121" i="39" s="1"/>
  <c r="D122" i="39"/>
  <c r="G37" i="41"/>
  <c r="I37" i="41" s="1"/>
  <c r="D38" i="41"/>
  <c r="E38" i="41"/>
  <c r="H37" i="40"/>
  <c r="I37" i="40" s="1"/>
  <c r="D38" i="40"/>
  <c r="E38" i="40"/>
  <c r="G39" i="39"/>
  <c r="I39" i="39" s="1"/>
  <c r="D40" i="39"/>
  <c r="E40" i="39"/>
  <c r="E123" i="40" l="1"/>
  <c r="F123" i="40" s="1"/>
  <c r="H123" i="40" s="1"/>
  <c r="B120" i="41"/>
  <c r="F120" i="41"/>
  <c r="J121" i="39"/>
  <c r="J122" i="40"/>
  <c r="E122" i="39"/>
  <c r="F122" i="39" s="1"/>
  <c r="B122" i="39"/>
  <c r="B38" i="41"/>
  <c r="F38" i="41"/>
  <c r="G38" i="41" s="1"/>
  <c r="B38" i="40"/>
  <c r="F38" i="40"/>
  <c r="H38" i="40" s="1"/>
  <c r="B40" i="39"/>
  <c r="F40" i="39"/>
  <c r="G40" i="39" s="1"/>
  <c r="D124" i="40" l="1"/>
  <c r="B124" i="40" s="1"/>
  <c r="G123" i="40"/>
  <c r="I123" i="40" s="1"/>
  <c r="J123" i="40" s="1"/>
  <c r="D121" i="41"/>
  <c r="E121" i="41" s="1"/>
  <c r="F121" i="41" s="1"/>
  <c r="G120" i="41"/>
  <c r="I120" i="41" s="1"/>
  <c r="H120" i="41"/>
  <c r="H122" i="39"/>
  <c r="G122" i="39"/>
  <c r="I122" i="39" s="1"/>
  <c r="D123" i="39"/>
  <c r="G38" i="40"/>
  <c r="I38" i="40" s="1"/>
  <c r="H38" i="41"/>
  <c r="I38" i="41" s="1"/>
  <c r="D39" i="41"/>
  <c r="E39" i="41"/>
  <c r="D39" i="40"/>
  <c r="E39" i="40"/>
  <c r="H40" i="39"/>
  <c r="I40" i="39" s="1"/>
  <c r="D41" i="39"/>
  <c r="E41" i="39"/>
  <c r="E124" i="40" l="1"/>
  <c r="F124" i="40" s="1"/>
  <c r="G124" i="40" s="1"/>
  <c r="I124" i="40" s="1"/>
  <c r="D122" i="41"/>
  <c r="G121" i="41"/>
  <c r="I121" i="41" s="1"/>
  <c r="J120" i="41"/>
  <c r="B121" i="41"/>
  <c r="H121" i="41"/>
  <c r="J122" i="39"/>
  <c r="E123" i="39"/>
  <c r="F123" i="39" s="1"/>
  <c r="B123" i="39"/>
  <c r="F39" i="41"/>
  <c r="B39" i="41"/>
  <c r="B39" i="40"/>
  <c r="F39" i="40"/>
  <c r="H39" i="40" s="1"/>
  <c r="B41" i="39"/>
  <c r="F41" i="39"/>
  <c r="G41" i="39" s="1"/>
  <c r="D125" i="40" l="1"/>
  <c r="E125" i="40" s="1"/>
  <c r="F125" i="40" s="1"/>
  <c r="G125" i="40" s="1"/>
  <c r="I125" i="40" s="1"/>
  <c r="H124" i="40"/>
  <c r="J124" i="40" s="1"/>
  <c r="J121" i="41"/>
  <c r="B122" i="41"/>
  <c r="E122" i="41"/>
  <c r="F122" i="41" s="1"/>
  <c r="H123" i="39"/>
  <c r="D124" i="39"/>
  <c r="G123" i="39"/>
  <c r="I123" i="39" s="1"/>
  <c r="H39" i="41"/>
  <c r="D40" i="41"/>
  <c r="E40" i="41"/>
  <c r="G39" i="41"/>
  <c r="G39" i="40"/>
  <c r="I39" i="40" s="1"/>
  <c r="D40" i="40"/>
  <c r="E40" i="40"/>
  <c r="H41" i="39"/>
  <c r="I41" i="39" s="1"/>
  <c r="D42" i="39"/>
  <c r="E42" i="39"/>
  <c r="H125" i="40" l="1"/>
  <c r="J125" i="40" s="1"/>
  <c r="B125" i="40"/>
  <c r="D126" i="40"/>
  <c r="G122" i="41"/>
  <c r="I122" i="41" s="1"/>
  <c r="D123" i="41"/>
  <c r="E123" i="41" s="1"/>
  <c r="F123" i="41" s="1"/>
  <c r="H122" i="41"/>
  <c r="J123" i="39"/>
  <c r="E124" i="39"/>
  <c r="F124" i="39" s="1"/>
  <c r="B124" i="39"/>
  <c r="B40" i="41"/>
  <c r="F40" i="41"/>
  <c r="H40" i="41" s="1"/>
  <c r="I39" i="41"/>
  <c r="B40" i="40"/>
  <c r="F40" i="40"/>
  <c r="G40" i="40" s="1"/>
  <c r="B42" i="39"/>
  <c r="F42" i="39"/>
  <c r="H42" i="39" s="1"/>
  <c r="E126" i="40" l="1"/>
  <c r="F126" i="40" s="1"/>
  <c r="B126" i="40"/>
  <c r="B123" i="41"/>
  <c r="H123" i="41"/>
  <c r="G123" i="41"/>
  <c r="I123" i="41" s="1"/>
  <c r="D124" i="41"/>
  <c r="B124" i="41" s="1"/>
  <c r="J122" i="41"/>
  <c r="H124" i="39"/>
  <c r="D125" i="39"/>
  <c r="G124" i="39"/>
  <c r="I124" i="39" s="1"/>
  <c r="G40" i="41"/>
  <c r="I40" i="41" s="1"/>
  <c r="D41" i="41"/>
  <c r="E41" i="41"/>
  <c r="H40" i="40"/>
  <c r="I40" i="40" s="1"/>
  <c r="D41" i="40"/>
  <c r="E41" i="40"/>
  <c r="G42" i="39"/>
  <c r="I42" i="39" s="1"/>
  <c r="D43" i="39"/>
  <c r="E43" i="39"/>
  <c r="G126" i="40" l="1"/>
  <c r="I126" i="40" s="1"/>
  <c r="D127" i="40"/>
  <c r="H126" i="40"/>
  <c r="E124" i="41"/>
  <c r="F124" i="41" s="1"/>
  <c r="H124" i="41" s="1"/>
  <c r="J123" i="41"/>
  <c r="J124" i="39"/>
  <c r="E125" i="39"/>
  <c r="F125" i="39" s="1"/>
  <c r="B125" i="39"/>
  <c r="F41" i="41"/>
  <c r="H41" i="41" s="1"/>
  <c r="B41" i="41"/>
  <c r="F41" i="40"/>
  <c r="G41" i="40" s="1"/>
  <c r="B41" i="40"/>
  <c r="F43" i="39"/>
  <c r="H43" i="39" s="1"/>
  <c r="B43" i="39"/>
  <c r="J126" i="40" l="1"/>
  <c r="B127" i="40"/>
  <c r="E127" i="40"/>
  <c r="F127" i="40" s="1"/>
  <c r="D125" i="41"/>
  <c r="E125" i="41" s="1"/>
  <c r="F125" i="41" s="1"/>
  <c r="D126" i="41" s="1"/>
  <c r="E126" i="41" s="1"/>
  <c r="F126" i="41" s="1"/>
  <c r="G124" i="41"/>
  <c r="I124" i="41" s="1"/>
  <c r="J124" i="41" s="1"/>
  <c r="G41" i="41"/>
  <c r="I41" i="41" s="1"/>
  <c r="H125" i="39"/>
  <c r="G125" i="39"/>
  <c r="I125" i="39" s="1"/>
  <c r="D126" i="39"/>
  <c r="D42" i="41"/>
  <c r="E42" i="41"/>
  <c r="H41" i="40"/>
  <c r="I41" i="40" s="1"/>
  <c r="D42" i="40"/>
  <c r="E42" i="40"/>
  <c r="G43" i="39"/>
  <c r="I43" i="39" s="1"/>
  <c r="D44" i="39"/>
  <c r="E44" i="39"/>
  <c r="D128" i="40" l="1"/>
  <c r="B128" i="40" s="1"/>
  <c r="G127" i="40"/>
  <c r="I127" i="40" s="1"/>
  <c r="H127" i="40"/>
  <c r="E128" i="40"/>
  <c r="F128" i="40" s="1"/>
  <c r="B125" i="41"/>
  <c r="G125" i="41"/>
  <c r="I125" i="41" s="1"/>
  <c r="H125" i="41"/>
  <c r="D127" i="41"/>
  <c r="E127" i="41" s="1"/>
  <c r="F127" i="41" s="1"/>
  <c r="G126" i="41"/>
  <c r="I126" i="41" s="1"/>
  <c r="B126" i="41"/>
  <c r="H126" i="41"/>
  <c r="J125" i="39"/>
  <c r="E126" i="39"/>
  <c r="F126" i="39" s="1"/>
  <c r="B126" i="39"/>
  <c r="B42" i="41"/>
  <c r="F42" i="41"/>
  <c r="H42" i="41" s="1"/>
  <c r="F42" i="40"/>
  <c r="H42" i="40" s="1"/>
  <c r="B42" i="40"/>
  <c r="F44" i="39"/>
  <c r="H44" i="39" s="1"/>
  <c r="B44" i="39"/>
  <c r="J127" i="40" l="1"/>
  <c r="H128" i="40"/>
  <c r="G128" i="40"/>
  <c r="I128" i="40" s="1"/>
  <c r="D129" i="40"/>
  <c r="J125" i="41"/>
  <c r="D128" i="41"/>
  <c r="E128" i="41" s="1"/>
  <c r="F128" i="41" s="1"/>
  <c r="G127" i="41"/>
  <c r="I127" i="41" s="1"/>
  <c r="J126" i="41"/>
  <c r="B127" i="41"/>
  <c r="H127" i="41"/>
  <c r="H126" i="39"/>
  <c r="G126" i="39"/>
  <c r="I126" i="39" s="1"/>
  <c r="D127" i="39"/>
  <c r="G42" i="40"/>
  <c r="I42" i="40" s="1"/>
  <c r="G42" i="41"/>
  <c r="I42" i="41" s="1"/>
  <c r="D43" i="41"/>
  <c r="E43" i="41"/>
  <c r="D43" i="40"/>
  <c r="E43" i="40"/>
  <c r="G44" i="39"/>
  <c r="I44" i="39" s="1"/>
  <c r="D45" i="39"/>
  <c r="E45" i="39"/>
  <c r="J128" i="40" l="1"/>
  <c r="E129" i="40"/>
  <c r="F129" i="40" s="1"/>
  <c r="B129" i="40"/>
  <c r="J126" i="39"/>
  <c r="J127" i="41"/>
  <c r="G128" i="41"/>
  <c r="I128" i="41" s="1"/>
  <c r="D129" i="41"/>
  <c r="B129" i="41" s="1"/>
  <c r="B128" i="41"/>
  <c r="H128" i="41"/>
  <c r="E127" i="39"/>
  <c r="F127" i="39" s="1"/>
  <c r="B127" i="39"/>
  <c r="B43" i="41"/>
  <c r="F43" i="41"/>
  <c r="G43" i="41" s="1"/>
  <c r="F43" i="40"/>
  <c r="G43" i="40" s="1"/>
  <c r="B43" i="40"/>
  <c r="F45" i="39"/>
  <c r="G45" i="39" s="1"/>
  <c r="B45" i="39"/>
  <c r="H129" i="40" l="1"/>
  <c r="D130" i="40"/>
  <c r="G129" i="40"/>
  <c r="I129" i="40" s="1"/>
  <c r="E129" i="41"/>
  <c r="F129" i="41" s="1"/>
  <c r="H129" i="41" s="1"/>
  <c r="J128" i="41"/>
  <c r="H127" i="39"/>
  <c r="D128" i="39"/>
  <c r="G127" i="39"/>
  <c r="I127" i="39" s="1"/>
  <c r="H43" i="41"/>
  <c r="I43" i="41" s="1"/>
  <c r="D44" i="41"/>
  <c r="E44" i="41"/>
  <c r="H43" i="40"/>
  <c r="I43" i="40" s="1"/>
  <c r="D44" i="40"/>
  <c r="E44" i="40"/>
  <c r="H45" i="39"/>
  <c r="I45" i="39" s="1"/>
  <c r="D46" i="39"/>
  <c r="E46" i="39"/>
  <c r="J129" i="40" l="1"/>
  <c r="D130" i="41"/>
  <c r="B130" i="41" s="1"/>
  <c r="B130" i="40"/>
  <c r="E130" i="40"/>
  <c r="F130" i="40" s="1"/>
  <c r="H130" i="40" s="1"/>
  <c r="E130" i="41"/>
  <c r="F130" i="41" s="1"/>
  <c r="H130" i="41" s="1"/>
  <c r="G129" i="41"/>
  <c r="I129" i="41" s="1"/>
  <c r="J129" i="41" s="1"/>
  <c r="J127" i="39"/>
  <c r="E128" i="39"/>
  <c r="F128" i="39" s="1"/>
  <c r="B128" i="39"/>
  <c r="B44" i="41"/>
  <c r="F44" i="41"/>
  <c r="G44" i="41" s="1"/>
  <c r="F44" i="40"/>
  <c r="H44" i="40" s="1"/>
  <c r="B44" i="40"/>
  <c r="F46" i="39"/>
  <c r="H46" i="39" s="1"/>
  <c r="B46" i="39"/>
  <c r="D131" i="40" l="1"/>
  <c r="G130" i="40"/>
  <c r="I130" i="40" s="1"/>
  <c r="J130" i="40" s="1"/>
  <c r="D131" i="41"/>
  <c r="B131" i="41" s="1"/>
  <c r="G130" i="41"/>
  <c r="I130" i="41" s="1"/>
  <c r="J130" i="41" s="1"/>
  <c r="H128" i="39"/>
  <c r="G128" i="39"/>
  <c r="I128" i="39" s="1"/>
  <c r="D129" i="39"/>
  <c r="H44" i="41"/>
  <c r="I44" i="41" s="1"/>
  <c r="D45" i="41"/>
  <c r="E45" i="41"/>
  <c r="G44" i="40"/>
  <c r="I44" i="40" s="1"/>
  <c r="D45" i="40"/>
  <c r="E45" i="40"/>
  <c r="G46" i="39"/>
  <c r="I46" i="39" s="1"/>
  <c r="D47" i="39"/>
  <c r="E47" i="39"/>
  <c r="E131" i="40" l="1"/>
  <c r="F131" i="40" s="1"/>
  <c r="H131" i="40" s="1"/>
  <c r="B131" i="40"/>
  <c r="E131" i="41"/>
  <c r="F131" i="41" s="1"/>
  <c r="G131" i="41" s="1"/>
  <c r="I131" i="41" s="1"/>
  <c r="J128" i="39"/>
  <c r="E129" i="39"/>
  <c r="F129" i="39" s="1"/>
  <c r="B129" i="39"/>
  <c r="F45" i="41"/>
  <c r="H45" i="41" s="1"/>
  <c r="B45" i="41"/>
  <c r="F45" i="40"/>
  <c r="G45" i="40" s="1"/>
  <c r="B45" i="40"/>
  <c r="F47" i="39"/>
  <c r="G47" i="39" s="1"/>
  <c r="B47" i="39"/>
  <c r="H131" i="41" l="1"/>
  <c r="G131" i="40"/>
  <c r="I131" i="40" s="1"/>
  <c r="J131" i="40" s="1"/>
  <c r="J156" i="40" s="1"/>
  <c r="D132" i="40"/>
  <c r="E132" i="40" s="1"/>
  <c r="F132" i="40" s="1"/>
  <c r="J131" i="41"/>
  <c r="J156" i="41" s="1"/>
  <c r="D132" i="41"/>
  <c r="E132" i="41" s="1"/>
  <c r="F132" i="41" s="1"/>
  <c r="D133" i="41" s="1"/>
  <c r="H129" i="39"/>
  <c r="D130" i="39"/>
  <c r="G129" i="39"/>
  <c r="I129" i="39" s="1"/>
  <c r="G45" i="41"/>
  <c r="I45" i="41" s="1"/>
  <c r="D46" i="41"/>
  <c r="E46" i="41"/>
  <c r="H45" i="40"/>
  <c r="I45" i="40" s="1"/>
  <c r="D46" i="40"/>
  <c r="E46" i="40"/>
  <c r="H47" i="39"/>
  <c r="I47" i="39" s="1"/>
  <c r="D48" i="39"/>
  <c r="E48" i="39"/>
  <c r="G132" i="40" l="1"/>
  <c r="I132" i="40" s="1"/>
  <c r="D133" i="40"/>
  <c r="B132" i="40"/>
  <c r="H132" i="40"/>
  <c r="G132" i="41"/>
  <c r="I132" i="41" s="1"/>
  <c r="H132" i="41"/>
  <c r="B132" i="41"/>
  <c r="E133" i="41"/>
  <c r="F133" i="41" s="1"/>
  <c r="H133" i="41" s="1"/>
  <c r="B133" i="41"/>
  <c r="J129" i="39"/>
  <c r="E130" i="39"/>
  <c r="F130" i="39" s="1"/>
  <c r="B130" i="39"/>
  <c r="B46" i="41"/>
  <c r="F46" i="41"/>
  <c r="B46" i="40"/>
  <c r="F46" i="40"/>
  <c r="H46" i="40" s="1"/>
  <c r="F48" i="39"/>
  <c r="H48" i="39" s="1"/>
  <c r="B48" i="39"/>
  <c r="E133" i="40" l="1"/>
  <c r="F133" i="40" s="1"/>
  <c r="H133" i="40" s="1"/>
  <c r="B133" i="40"/>
  <c r="G133" i="41"/>
  <c r="I133" i="41" s="1"/>
  <c r="D134" i="41"/>
  <c r="H130" i="39"/>
  <c r="D131" i="39"/>
  <c r="G130" i="39"/>
  <c r="I130" i="39" s="1"/>
  <c r="H46" i="41"/>
  <c r="D47" i="41"/>
  <c r="E47" i="41"/>
  <c r="G46" i="41"/>
  <c r="G46" i="40"/>
  <c r="I46" i="40" s="1"/>
  <c r="D47" i="40"/>
  <c r="E47" i="40"/>
  <c r="G48" i="39"/>
  <c r="I48" i="39" s="1"/>
  <c r="D49" i="39"/>
  <c r="E49" i="39"/>
  <c r="D134" i="40" l="1"/>
  <c r="B134" i="40" s="1"/>
  <c r="G133" i="40"/>
  <c r="I133" i="40" s="1"/>
  <c r="E134" i="41"/>
  <c r="F134" i="41" s="1"/>
  <c r="H134" i="41" s="1"/>
  <c r="B134" i="41"/>
  <c r="J130" i="39"/>
  <c r="E131" i="39"/>
  <c r="F131" i="39" s="1"/>
  <c r="B131" i="39"/>
  <c r="I46" i="41"/>
  <c r="F47" i="41"/>
  <c r="G47" i="41" s="1"/>
  <c r="B47" i="41"/>
  <c r="B47" i="40"/>
  <c r="F47" i="40"/>
  <c r="H47" i="40" s="1"/>
  <c r="B49" i="39"/>
  <c r="F49" i="39"/>
  <c r="H49" i="39" s="1"/>
  <c r="E134" i="40" l="1"/>
  <c r="F134" i="40" s="1"/>
  <c r="H134" i="40" s="1"/>
  <c r="G134" i="41"/>
  <c r="I134" i="41" s="1"/>
  <c r="D135" i="41"/>
  <c r="B135" i="41" s="1"/>
  <c r="H131" i="39"/>
  <c r="D132" i="39"/>
  <c r="G131" i="39"/>
  <c r="I131" i="39" s="1"/>
  <c r="H47" i="41"/>
  <c r="I47" i="41" s="1"/>
  <c r="D48" i="41"/>
  <c r="E48" i="41"/>
  <c r="G47" i="40"/>
  <c r="I47" i="40" s="1"/>
  <c r="D48" i="40"/>
  <c r="E48" i="40"/>
  <c r="G49" i="39"/>
  <c r="I49" i="39" s="1"/>
  <c r="D50" i="39"/>
  <c r="D135" i="40" l="1"/>
  <c r="E135" i="40" s="1"/>
  <c r="F135" i="40" s="1"/>
  <c r="H135" i="40" s="1"/>
  <c r="G134" i="40"/>
  <c r="I134" i="40" s="1"/>
  <c r="E135" i="41"/>
  <c r="F135" i="41" s="1"/>
  <c r="D136" i="41" s="1"/>
  <c r="E136" i="41" s="1"/>
  <c r="F136" i="41" s="1"/>
  <c r="J131" i="39"/>
  <c r="J156" i="39" s="1"/>
  <c r="E132" i="39"/>
  <c r="F132" i="39" s="1"/>
  <c r="B132" i="39"/>
  <c r="F48" i="41"/>
  <c r="H48" i="41" s="1"/>
  <c r="B48" i="41"/>
  <c r="B48" i="40"/>
  <c r="F48" i="40"/>
  <c r="H48" i="40" s="1"/>
  <c r="E50" i="39"/>
  <c r="F50" i="39" s="1"/>
  <c r="G50" i="39" s="1"/>
  <c r="B50" i="39"/>
  <c r="B135" i="40" l="1"/>
  <c r="H135" i="41"/>
  <c r="D136" i="40"/>
  <c r="B136" i="40" s="1"/>
  <c r="G135" i="40"/>
  <c r="I135" i="40" s="1"/>
  <c r="G135" i="41"/>
  <c r="I135" i="41" s="1"/>
  <c r="D137" i="41"/>
  <c r="B137" i="41" s="1"/>
  <c r="G136" i="41"/>
  <c r="I136" i="41" s="1"/>
  <c r="B136" i="41"/>
  <c r="H136" i="41"/>
  <c r="H132" i="39"/>
  <c r="G132" i="39"/>
  <c r="I132" i="39" s="1"/>
  <c r="D133" i="39"/>
  <c r="B133" i="39" s="1"/>
  <c r="G48" i="41"/>
  <c r="I48" i="41" s="1"/>
  <c r="D49" i="41"/>
  <c r="E49" i="41"/>
  <c r="G48" i="40"/>
  <c r="I48" i="40" s="1"/>
  <c r="D49" i="40"/>
  <c r="E49" i="40"/>
  <c r="H50" i="39"/>
  <c r="I50" i="39" s="1"/>
  <c r="D51" i="39"/>
  <c r="E136" i="40" l="1"/>
  <c r="F136" i="40" s="1"/>
  <c r="H136" i="40" s="1"/>
  <c r="E137" i="41"/>
  <c r="F137" i="41" s="1"/>
  <c r="G137" i="41" s="1"/>
  <c r="I137" i="41" s="1"/>
  <c r="E133" i="39"/>
  <c r="F133" i="39" s="1"/>
  <c r="H133" i="39" s="1"/>
  <c r="B49" i="41"/>
  <c r="F49" i="41"/>
  <c r="G49" i="41" s="1"/>
  <c r="F49" i="40"/>
  <c r="G49" i="40" s="1"/>
  <c r="B49" i="40"/>
  <c r="E51" i="39"/>
  <c r="F51" i="39" s="1"/>
  <c r="D52" i="39" s="1"/>
  <c r="B51" i="39"/>
  <c r="D137" i="40" l="1"/>
  <c r="B137" i="40" s="1"/>
  <c r="G136" i="40"/>
  <c r="I136" i="40" s="1"/>
  <c r="E137" i="40"/>
  <c r="F137" i="40" s="1"/>
  <c r="D138" i="41"/>
  <c r="B138" i="41" s="1"/>
  <c r="H137" i="41"/>
  <c r="D134" i="39"/>
  <c r="B134" i="39" s="1"/>
  <c r="G133" i="39"/>
  <c r="I133" i="39" s="1"/>
  <c r="H49" i="41"/>
  <c r="I49" i="41" s="1"/>
  <c r="D50" i="41"/>
  <c r="G51" i="39"/>
  <c r="H49" i="40"/>
  <c r="I49" i="40" s="1"/>
  <c r="D50" i="40"/>
  <c r="E52" i="39"/>
  <c r="F52" i="39" s="1"/>
  <c r="B52" i="39"/>
  <c r="H51" i="39"/>
  <c r="H137" i="40" l="1"/>
  <c r="D138" i="40"/>
  <c r="G137" i="40"/>
  <c r="I137" i="40" s="1"/>
  <c r="E138" i="41"/>
  <c r="F138" i="41" s="1"/>
  <c r="H138" i="41" s="1"/>
  <c r="E134" i="39"/>
  <c r="F134" i="39" s="1"/>
  <c r="H134" i="39" s="1"/>
  <c r="E50" i="41"/>
  <c r="F50" i="41" s="1"/>
  <c r="G50" i="41" s="1"/>
  <c r="B50" i="41"/>
  <c r="I51" i="39"/>
  <c r="E50" i="40"/>
  <c r="F50" i="40" s="1"/>
  <c r="H50" i="40" s="1"/>
  <c r="B50" i="40"/>
  <c r="G52" i="39"/>
  <c r="D53" i="39"/>
  <c r="H52" i="39"/>
  <c r="E138" i="40" l="1"/>
  <c r="F138" i="40" s="1"/>
  <c r="H138" i="40" s="1"/>
  <c r="B138" i="40"/>
  <c r="D139" i="41"/>
  <c r="E139" i="41" s="1"/>
  <c r="F139" i="41" s="1"/>
  <c r="G138" i="41"/>
  <c r="I138" i="41" s="1"/>
  <c r="G134" i="39"/>
  <c r="I134" i="39" s="1"/>
  <c r="D135" i="39"/>
  <c r="B135" i="39" s="1"/>
  <c r="H50" i="41"/>
  <c r="I50" i="41" s="1"/>
  <c r="D51" i="41"/>
  <c r="I52" i="39"/>
  <c r="G50" i="40"/>
  <c r="I50" i="40" s="1"/>
  <c r="D51" i="40"/>
  <c r="E53" i="39"/>
  <c r="F53" i="39" s="1"/>
  <c r="H53" i="39" s="1"/>
  <c r="B53" i="39"/>
  <c r="G138" i="40" l="1"/>
  <c r="I138" i="40" s="1"/>
  <c r="D139" i="40"/>
  <c r="E139" i="40" s="1"/>
  <c r="F139" i="40" s="1"/>
  <c r="G139" i="41"/>
  <c r="I139" i="41" s="1"/>
  <c r="D140" i="41"/>
  <c r="B139" i="41"/>
  <c r="H139" i="41"/>
  <c r="E135" i="39"/>
  <c r="F135" i="39" s="1"/>
  <c r="D136" i="39" s="1"/>
  <c r="B136" i="39" s="1"/>
  <c r="E51" i="41"/>
  <c r="F51" i="41" s="1"/>
  <c r="G51" i="41" s="1"/>
  <c r="B51" i="41"/>
  <c r="E51" i="40"/>
  <c r="F51" i="40" s="1"/>
  <c r="D52" i="40" s="1"/>
  <c r="B51" i="40"/>
  <c r="G53" i="39"/>
  <c r="I53" i="39" s="1"/>
  <c r="D54" i="39"/>
  <c r="D140" i="40" l="1"/>
  <c r="E140" i="40" s="1"/>
  <c r="F140" i="40" s="1"/>
  <c r="G139" i="40"/>
  <c r="I139" i="40" s="1"/>
  <c r="B139" i="40"/>
  <c r="H139" i="40"/>
  <c r="G135" i="39"/>
  <c r="I135" i="39" s="1"/>
  <c r="B140" i="41"/>
  <c r="E140" i="41"/>
  <c r="F140" i="41" s="1"/>
  <c r="H140" i="41" s="1"/>
  <c r="H135" i="39"/>
  <c r="E136" i="39"/>
  <c r="F136" i="39" s="1"/>
  <c r="D137" i="39" s="1"/>
  <c r="B137" i="39" s="1"/>
  <c r="H51" i="41"/>
  <c r="I51" i="41" s="1"/>
  <c r="D52" i="41"/>
  <c r="G51" i="40"/>
  <c r="H51" i="40"/>
  <c r="E52" i="40"/>
  <c r="F52" i="40" s="1"/>
  <c r="H52" i="40" s="1"/>
  <c r="B52" i="40"/>
  <c r="E54" i="39"/>
  <c r="F54" i="39" s="1"/>
  <c r="G54" i="39" s="1"/>
  <c r="B54" i="39"/>
  <c r="D141" i="40" l="1"/>
  <c r="B141" i="40" s="1"/>
  <c r="G140" i="40"/>
  <c r="I140" i="40" s="1"/>
  <c r="B140" i="40"/>
  <c r="H140" i="40"/>
  <c r="D141" i="41"/>
  <c r="E141" i="41" s="1"/>
  <c r="F141" i="41" s="1"/>
  <c r="G140" i="41"/>
  <c r="I140" i="41" s="1"/>
  <c r="G136" i="39"/>
  <c r="I136" i="39" s="1"/>
  <c r="H136" i="39"/>
  <c r="E137" i="39"/>
  <c r="F137" i="39" s="1"/>
  <c r="D138" i="39" s="1"/>
  <c r="B138" i="39" s="1"/>
  <c r="E52" i="41"/>
  <c r="F52" i="41" s="1"/>
  <c r="B52" i="41"/>
  <c r="I51" i="40"/>
  <c r="G52" i="40"/>
  <c r="I52" i="40" s="1"/>
  <c r="D53" i="40"/>
  <c r="H54" i="39"/>
  <c r="I54" i="39" s="1"/>
  <c r="D55" i="39"/>
  <c r="E141" i="40" l="1"/>
  <c r="F141" i="40" s="1"/>
  <c r="H141" i="40" s="1"/>
  <c r="H137" i="39"/>
  <c r="D142" i="41"/>
  <c r="E142" i="41" s="1"/>
  <c r="F142" i="41" s="1"/>
  <c r="G141" i="41"/>
  <c r="I141" i="41" s="1"/>
  <c r="H141" i="41"/>
  <c r="B141" i="41"/>
  <c r="G137" i="39"/>
  <c r="I137" i="39" s="1"/>
  <c r="E138" i="39"/>
  <c r="F138" i="39" s="1"/>
  <c r="G138" i="39" s="1"/>
  <c r="I138" i="39" s="1"/>
  <c r="D53" i="41"/>
  <c r="E53" i="41" s="1"/>
  <c r="G52" i="41"/>
  <c r="H52" i="41"/>
  <c r="E53" i="40"/>
  <c r="F53" i="40" s="1"/>
  <c r="G53" i="40" s="1"/>
  <c r="B53" i="40"/>
  <c r="E55" i="39"/>
  <c r="F55" i="39" s="1"/>
  <c r="H55" i="39" s="1"/>
  <c r="B55" i="39"/>
  <c r="G141" i="40" l="1"/>
  <c r="I141" i="40" s="1"/>
  <c r="D142" i="40"/>
  <c r="E142" i="40" s="1"/>
  <c r="F142" i="40" s="1"/>
  <c r="H142" i="40" s="1"/>
  <c r="B142" i="41"/>
  <c r="H142" i="41"/>
  <c r="G142" i="41"/>
  <c r="I142" i="41" s="1"/>
  <c r="D143" i="41"/>
  <c r="E143" i="41" s="1"/>
  <c r="F143" i="41" s="1"/>
  <c r="G143" i="41" s="1"/>
  <c r="I143" i="41" s="1"/>
  <c r="H138" i="39"/>
  <c r="D139" i="39"/>
  <c r="B139" i="39" s="1"/>
  <c r="I52" i="41"/>
  <c r="F53" i="41"/>
  <c r="D54" i="41" s="1"/>
  <c r="B54" i="41" s="1"/>
  <c r="B53" i="41"/>
  <c r="H53" i="40"/>
  <c r="I53" i="40" s="1"/>
  <c r="D54" i="40"/>
  <c r="G55" i="39"/>
  <c r="I55" i="39" s="1"/>
  <c r="D56" i="39"/>
  <c r="E56" i="39" s="1"/>
  <c r="F56" i="39" s="1"/>
  <c r="B142" i="40" l="1"/>
  <c r="D143" i="40"/>
  <c r="G142" i="40"/>
  <c r="I142" i="40" s="1"/>
  <c r="D144" i="41"/>
  <c r="B144" i="41" s="1"/>
  <c r="B143" i="41"/>
  <c r="H143" i="41"/>
  <c r="E139" i="39"/>
  <c r="F139" i="39" s="1"/>
  <c r="H139" i="39" s="1"/>
  <c r="E144" i="41"/>
  <c r="F144" i="41" s="1"/>
  <c r="E54" i="41"/>
  <c r="F54" i="41" s="1"/>
  <c r="G54" i="41" s="1"/>
  <c r="H53" i="41"/>
  <c r="G53" i="41"/>
  <c r="E54" i="40"/>
  <c r="F54" i="40" s="1"/>
  <c r="D55" i="40" s="1"/>
  <c r="B54" i="40"/>
  <c r="D57" i="39"/>
  <c r="E57" i="39" s="1"/>
  <c r="F57" i="39" s="1"/>
  <c r="B56" i="39"/>
  <c r="G56" i="39"/>
  <c r="H56" i="39"/>
  <c r="D140" i="39" l="1"/>
  <c r="E140" i="39" s="1"/>
  <c r="F140" i="39" s="1"/>
  <c r="G140" i="39" s="1"/>
  <c r="I140" i="39" s="1"/>
  <c r="E143" i="40"/>
  <c r="F143" i="40" s="1"/>
  <c r="H143" i="40" s="1"/>
  <c r="B143" i="40"/>
  <c r="G139" i="39"/>
  <c r="I139" i="39" s="1"/>
  <c r="G144" i="41"/>
  <c r="I144" i="41" s="1"/>
  <c r="D145" i="41"/>
  <c r="B145" i="41" s="1"/>
  <c r="H144" i="41"/>
  <c r="D55" i="41"/>
  <c r="E55" i="41" s="1"/>
  <c r="F55" i="41" s="1"/>
  <c r="G55" i="41" s="1"/>
  <c r="I53" i="41"/>
  <c r="H54" i="41"/>
  <c r="I54" i="41" s="1"/>
  <c r="I56" i="39"/>
  <c r="G54" i="40"/>
  <c r="H54" i="40"/>
  <c r="E55" i="40"/>
  <c r="F55" i="40" s="1"/>
  <c r="B55" i="40"/>
  <c r="G57" i="39"/>
  <c r="D58" i="39"/>
  <c r="E58" i="39" s="1"/>
  <c r="F58" i="39" s="1"/>
  <c r="B57" i="39"/>
  <c r="H57" i="39"/>
  <c r="B140" i="39" l="1"/>
  <c r="D141" i="39"/>
  <c r="B141" i="39" s="1"/>
  <c r="H140" i="39"/>
  <c r="G143" i="40"/>
  <c r="I143" i="40" s="1"/>
  <c r="D144" i="40"/>
  <c r="E141" i="39"/>
  <c r="F141" i="39" s="1"/>
  <c r="H141" i="39" s="1"/>
  <c r="E145" i="41"/>
  <c r="F145" i="41" s="1"/>
  <c r="H145" i="41" s="1"/>
  <c r="B55" i="41"/>
  <c r="I54" i="40"/>
  <c r="H55" i="41"/>
  <c r="I55" i="41" s="1"/>
  <c r="D56" i="41"/>
  <c r="D56" i="40"/>
  <c r="G55" i="40"/>
  <c r="H55" i="40"/>
  <c r="I57" i="39"/>
  <c r="H58" i="39"/>
  <c r="D59" i="39"/>
  <c r="E59" i="39" s="1"/>
  <c r="F59" i="39" s="1"/>
  <c r="B58" i="39"/>
  <c r="G58" i="39"/>
  <c r="E144" i="40" l="1"/>
  <c r="F144" i="40" s="1"/>
  <c r="H144" i="40" s="1"/>
  <c r="B144" i="40"/>
  <c r="G145" i="41"/>
  <c r="I145" i="41" s="1"/>
  <c r="D146" i="41"/>
  <c r="E146" i="41" s="1"/>
  <c r="F146" i="41" s="1"/>
  <c r="G146" i="41" s="1"/>
  <c r="I146" i="41" s="1"/>
  <c r="D142" i="39"/>
  <c r="B142" i="39" s="1"/>
  <c r="G141" i="39"/>
  <c r="I141" i="39" s="1"/>
  <c r="I55" i="40"/>
  <c r="E56" i="41"/>
  <c r="F56" i="41" s="1"/>
  <c r="D57" i="41" s="1"/>
  <c r="B56" i="41"/>
  <c r="B56" i="40"/>
  <c r="E56" i="40"/>
  <c r="F56" i="40" s="1"/>
  <c r="I58" i="39"/>
  <c r="G59" i="39"/>
  <c r="D60" i="39"/>
  <c r="E60" i="39" s="1"/>
  <c r="F60" i="39" s="1"/>
  <c r="B59" i="39"/>
  <c r="H59" i="39"/>
  <c r="E142" i="39" l="1"/>
  <c r="F142" i="39" s="1"/>
  <c r="G142" i="39" s="1"/>
  <c r="I142" i="39" s="1"/>
  <c r="D145" i="40"/>
  <c r="E145" i="40" s="1"/>
  <c r="F145" i="40" s="1"/>
  <c r="G144" i="40"/>
  <c r="I144" i="40" s="1"/>
  <c r="D147" i="41"/>
  <c r="E147" i="41" s="1"/>
  <c r="F147" i="41" s="1"/>
  <c r="G147" i="41" s="1"/>
  <c r="I147" i="41" s="1"/>
  <c r="H146" i="41"/>
  <c r="B146" i="41"/>
  <c r="H56" i="41"/>
  <c r="G56" i="41"/>
  <c r="E57" i="41"/>
  <c r="F57" i="41" s="1"/>
  <c r="D58" i="41" s="1"/>
  <c r="B57" i="41"/>
  <c r="H56" i="40"/>
  <c r="G56" i="40"/>
  <c r="D57" i="40"/>
  <c r="E57" i="40" s="1"/>
  <c r="I59" i="39"/>
  <c r="D61" i="39"/>
  <c r="E61" i="39" s="1"/>
  <c r="F61" i="39" s="1"/>
  <c r="B60" i="39"/>
  <c r="G60" i="39"/>
  <c r="H60" i="39"/>
  <c r="D143" i="39" l="1"/>
  <c r="B143" i="39" s="1"/>
  <c r="H142" i="39"/>
  <c r="G145" i="40"/>
  <c r="I145" i="40" s="1"/>
  <c r="D146" i="40"/>
  <c r="B145" i="40"/>
  <c r="H145" i="40"/>
  <c r="H147" i="41"/>
  <c r="D148" i="41"/>
  <c r="E148" i="41" s="1"/>
  <c r="F148" i="41" s="1"/>
  <c r="H148" i="41" s="1"/>
  <c r="B147" i="41"/>
  <c r="I56" i="41"/>
  <c r="H57" i="41"/>
  <c r="G57" i="41"/>
  <c r="I56" i="40"/>
  <c r="E58" i="41"/>
  <c r="F58" i="41" s="1"/>
  <c r="G58" i="41" s="1"/>
  <c r="B58" i="41"/>
  <c r="F57" i="40"/>
  <c r="G57" i="40" s="1"/>
  <c r="B57" i="40"/>
  <c r="I60" i="39"/>
  <c r="G61" i="39"/>
  <c r="D62" i="39"/>
  <c r="B61" i="39"/>
  <c r="H61" i="39"/>
  <c r="E143" i="39" l="1"/>
  <c r="F143" i="39" s="1"/>
  <c r="D144" i="39" s="1"/>
  <c r="B144" i="39" s="1"/>
  <c r="E146" i="40"/>
  <c r="F146" i="40" s="1"/>
  <c r="H146" i="40" s="1"/>
  <c r="B146" i="40"/>
  <c r="G143" i="39"/>
  <c r="I143" i="39" s="1"/>
  <c r="B148" i="41"/>
  <c r="E144" i="39"/>
  <c r="F144" i="39" s="1"/>
  <c r="D145" i="39" s="1"/>
  <c r="B145" i="39" s="1"/>
  <c r="G148" i="41"/>
  <c r="I148" i="41" s="1"/>
  <c r="D149" i="41"/>
  <c r="E149" i="41" s="1"/>
  <c r="F149" i="41" s="1"/>
  <c r="I57" i="41"/>
  <c r="H57" i="40"/>
  <c r="I57" i="40" s="1"/>
  <c r="D58" i="40"/>
  <c r="B58" i="40" s="1"/>
  <c r="H58" i="41"/>
  <c r="I58" i="41" s="1"/>
  <c r="D59" i="41"/>
  <c r="I61" i="39"/>
  <c r="E62" i="39"/>
  <c r="F62" i="39" s="1"/>
  <c r="G62" i="39" s="1"/>
  <c r="B62" i="39"/>
  <c r="H143" i="39" l="1"/>
  <c r="E145" i="39"/>
  <c r="F145" i="39" s="1"/>
  <c r="D146" i="39" s="1"/>
  <c r="B146" i="39" s="1"/>
  <c r="G144" i="39"/>
  <c r="I144" i="39" s="1"/>
  <c r="H144" i="39"/>
  <c r="G146" i="40"/>
  <c r="I146" i="40" s="1"/>
  <c r="D147" i="40"/>
  <c r="G149" i="41"/>
  <c r="I149" i="41" s="1"/>
  <c r="D150" i="41"/>
  <c r="E150" i="41" s="1"/>
  <c r="F150" i="41" s="1"/>
  <c r="B149" i="41"/>
  <c r="H149" i="41"/>
  <c r="E58" i="40"/>
  <c r="F58" i="40" s="1"/>
  <c r="G58" i="40" s="1"/>
  <c r="E59" i="41"/>
  <c r="F59" i="41" s="1"/>
  <c r="G59" i="41" s="1"/>
  <c r="B59" i="41"/>
  <c r="H62" i="39"/>
  <c r="I62" i="39" s="1"/>
  <c r="D63" i="39"/>
  <c r="E63" i="39" s="1"/>
  <c r="F63" i="39" s="1"/>
  <c r="E146" i="39" l="1"/>
  <c r="F146" i="39" s="1"/>
  <c r="D147" i="39" s="1"/>
  <c r="B147" i="39" s="1"/>
  <c r="H145" i="39"/>
  <c r="G145" i="39"/>
  <c r="I145" i="39" s="1"/>
  <c r="E147" i="40"/>
  <c r="F147" i="40" s="1"/>
  <c r="H147" i="40" s="1"/>
  <c r="B147" i="40"/>
  <c r="D151" i="41"/>
  <c r="E151" i="41" s="1"/>
  <c r="F151" i="41" s="1"/>
  <c r="G150" i="41"/>
  <c r="I150" i="41" s="1"/>
  <c r="H150" i="41"/>
  <c r="B150" i="41"/>
  <c r="D59" i="40"/>
  <c r="E59" i="40" s="1"/>
  <c r="F59" i="40" s="1"/>
  <c r="H59" i="40" s="1"/>
  <c r="H58" i="40"/>
  <c r="I58" i="40" s="1"/>
  <c r="H59" i="41"/>
  <c r="I59" i="41" s="1"/>
  <c r="D60" i="41"/>
  <c r="H63" i="39"/>
  <c r="D64" i="39"/>
  <c r="B63" i="39"/>
  <c r="G63" i="39"/>
  <c r="E147" i="39" l="1"/>
  <c r="F147" i="39" s="1"/>
  <c r="D148" i="39" s="1"/>
  <c r="B148" i="39" s="1"/>
  <c r="H146" i="39"/>
  <c r="G146" i="39"/>
  <c r="I146" i="39" s="1"/>
  <c r="G147" i="40"/>
  <c r="I147" i="40" s="1"/>
  <c r="D148" i="40"/>
  <c r="D152" i="41"/>
  <c r="E152" i="41" s="1"/>
  <c r="F152" i="41" s="1"/>
  <c r="G151" i="41"/>
  <c r="I151" i="41" s="1"/>
  <c r="H151" i="41"/>
  <c r="B151" i="41"/>
  <c r="G147" i="39"/>
  <c r="I147" i="39" s="1"/>
  <c r="H147" i="39"/>
  <c r="E148" i="39"/>
  <c r="F148" i="39" s="1"/>
  <c r="H148" i="39" s="1"/>
  <c r="B59" i="40"/>
  <c r="E60" i="41"/>
  <c r="F60" i="41" s="1"/>
  <c r="D61" i="41" s="1"/>
  <c r="B60" i="41"/>
  <c r="I63" i="39"/>
  <c r="G59" i="40"/>
  <c r="I59" i="40" s="1"/>
  <c r="D60" i="40"/>
  <c r="E64" i="39"/>
  <c r="F64" i="39" s="1"/>
  <c r="D65" i="39" s="1"/>
  <c r="B64" i="39"/>
  <c r="E148" i="40" l="1"/>
  <c r="F148" i="40" s="1"/>
  <c r="H148" i="40" s="1"/>
  <c r="B148" i="40"/>
  <c r="G148" i="39"/>
  <c r="I148" i="39" s="1"/>
  <c r="G152" i="41"/>
  <c r="I152" i="41" s="1"/>
  <c r="D153" i="41"/>
  <c r="E153" i="41" s="1"/>
  <c r="F153" i="41" s="1"/>
  <c r="B152" i="41"/>
  <c r="H152" i="41"/>
  <c r="D149" i="39"/>
  <c r="B149" i="39" s="1"/>
  <c r="G64" i="39"/>
  <c r="H64" i="39"/>
  <c r="H60" i="41"/>
  <c r="G60" i="41"/>
  <c r="E61" i="41"/>
  <c r="F61" i="41" s="1"/>
  <c r="D62" i="41" s="1"/>
  <c r="B61" i="41"/>
  <c r="E60" i="40"/>
  <c r="F60" i="40" s="1"/>
  <c r="G60" i="40" s="1"/>
  <c r="B60" i="40"/>
  <c r="E65" i="39"/>
  <c r="F65" i="39" s="1"/>
  <c r="D66" i="39" s="1"/>
  <c r="B65" i="39"/>
  <c r="I64" i="39" l="1"/>
  <c r="D149" i="40"/>
  <c r="G148" i="40"/>
  <c r="I148" i="40" s="1"/>
  <c r="E149" i="39"/>
  <c r="F149" i="39" s="1"/>
  <c r="H149" i="39" s="1"/>
  <c r="G153" i="41"/>
  <c r="I153" i="41" s="1"/>
  <c r="D154" i="41"/>
  <c r="E154" i="41" s="1"/>
  <c r="F154" i="41" s="1"/>
  <c r="H153" i="41"/>
  <c r="B153" i="41"/>
  <c r="I60" i="41"/>
  <c r="G61" i="41"/>
  <c r="H61" i="41"/>
  <c r="E62" i="41"/>
  <c r="F62" i="41" s="1"/>
  <c r="G62" i="41" s="1"/>
  <c r="B62" i="41"/>
  <c r="H65" i="39"/>
  <c r="H60" i="40"/>
  <c r="I60" i="40" s="1"/>
  <c r="D61" i="40"/>
  <c r="G65" i="39"/>
  <c r="E66" i="39"/>
  <c r="F66" i="39" s="1"/>
  <c r="H66" i="39" s="1"/>
  <c r="B66" i="39"/>
  <c r="E149" i="40" l="1"/>
  <c r="F149" i="40" s="1"/>
  <c r="H149" i="40" s="1"/>
  <c r="B149" i="40"/>
  <c r="G154" i="41"/>
  <c r="I154" i="41" s="1"/>
  <c r="D155" i="41"/>
  <c r="H154" i="41"/>
  <c r="B154" i="41"/>
  <c r="G149" i="39"/>
  <c r="I149" i="39" s="1"/>
  <c r="D150" i="39"/>
  <c r="I65" i="39"/>
  <c r="I61" i="41"/>
  <c r="H62" i="41"/>
  <c r="I62" i="41" s="1"/>
  <c r="D63" i="41"/>
  <c r="E61" i="40"/>
  <c r="F61" i="40" s="1"/>
  <c r="G61" i="40" s="1"/>
  <c r="B61" i="40"/>
  <c r="G66" i="39"/>
  <c r="I66" i="39" s="1"/>
  <c r="D67" i="39"/>
  <c r="E67" i="39" s="1"/>
  <c r="F67" i="39" s="1"/>
  <c r="G149" i="40" l="1"/>
  <c r="I149" i="40" s="1"/>
  <c r="D150" i="40"/>
  <c r="B150" i="39"/>
  <c r="E150" i="39"/>
  <c r="F150" i="39" s="1"/>
  <c r="H150" i="39" s="1"/>
  <c r="E155" i="41"/>
  <c r="E156" i="41" s="1"/>
  <c r="B155" i="41"/>
  <c r="E63" i="41"/>
  <c r="F63" i="41" s="1"/>
  <c r="G63" i="41" s="1"/>
  <c r="B63" i="41"/>
  <c r="H61" i="40"/>
  <c r="I61" i="40" s="1"/>
  <c r="D62" i="40"/>
  <c r="D68" i="39"/>
  <c r="E68" i="39" s="1"/>
  <c r="F68" i="39" s="1"/>
  <c r="B67" i="39"/>
  <c r="H67" i="39"/>
  <c r="G67" i="39"/>
  <c r="F155" i="41" l="1"/>
  <c r="G155" i="41" s="1"/>
  <c r="I155" i="41" s="1"/>
  <c r="I156" i="41" s="1"/>
  <c r="E150" i="40"/>
  <c r="F150" i="40" s="1"/>
  <c r="H150" i="40" s="1"/>
  <c r="B150" i="40"/>
  <c r="H155" i="41"/>
  <c r="H156" i="41" s="1"/>
  <c r="G150" i="39"/>
  <c r="I150" i="39" s="1"/>
  <c r="D151" i="39"/>
  <c r="B151" i="39" s="1"/>
  <c r="H63" i="41"/>
  <c r="I63" i="41" s="1"/>
  <c r="D64" i="41"/>
  <c r="E62" i="40"/>
  <c r="F62" i="40" s="1"/>
  <c r="D63" i="40" s="1"/>
  <c r="B62" i="40"/>
  <c r="I67" i="39"/>
  <c r="D69" i="39"/>
  <c r="E69" i="39" s="1"/>
  <c r="F69" i="39" s="1"/>
  <c r="B68" i="39"/>
  <c r="H68" i="39"/>
  <c r="G68" i="39"/>
  <c r="D151" i="40" l="1"/>
  <c r="G150" i="40"/>
  <c r="I150" i="40" s="1"/>
  <c r="E151" i="39"/>
  <c r="F151" i="39" s="1"/>
  <c r="H62" i="40"/>
  <c r="G62" i="40"/>
  <c r="E64" i="41"/>
  <c r="F64" i="41" s="1"/>
  <c r="B64" i="41"/>
  <c r="E63" i="40"/>
  <c r="F63" i="40" s="1"/>
  <c r="B63" i="40"/>
  <c r="I68" i="39"/>
  <c r="H69" i="39"/>
  <c r="D70" i="39"/>
  <c r="B69" i="39"/>
  <c r="G69" i="39"/>
  <c r="E151" i="40" l="1"/>
  <c r="F151" i="40" s="1"/>
  <c r="H151" i="40" s="1"/>
  <c r="B151" i="40"/>
  <c r="H151" i="39"/>
  <c r="G151" i="39"/>
  <c r="I151" i="39" s="1"/>
  <c r="D152" i="39"/>
  <c r="E152" i="39" s="1"/>
  <c r="F152" i="39" s="1"/>
  <c r="I62" i="40"/>
  <c r="D65" i="41"/>
  <c r="B65" i="41" s="1"/>
  <c r="H64" i="41"/>
  <c r="G64" i="41"/>
  <c r="D64" i="40"/>
  <c r="E64" i="40" s="1"/>
  <c r="F64" i="40" s="1"/>
  <c r="H64" i="40" s="1"/>
  <c r="G63" i="40"/>
  <c r="H63" i="40"/>
  <c r="I69" i="39"/>
  <c r="B70" i="39"/>
  <c r="E70" i="39"/>
  <c r="F70" i="39" s="1"/>
  <c r="D71" i="39" s="1"/>
  <c r="G151" i="40" l="1"/>
  <c r="I151" i="40" s="1"/>
  <c r="D152" i="40"/>
  <c r="D153" i="39"/>
  <c r="B153" i="39" s="1"/>
  <c r="G152" i="39"/>
  <c r="I152" i="39" s="1"/>
  <c r="B152" i="39"/>
  <c r="H152" i="39"/>
  <c r="E65" i="41"/>
  <c r="F65" i="41" s="1"/>
  <c r="D66" i="41" s="1"/>
  <c r="B66" i="41" s="1"/>
  <c r="I64" i="41"/>
  <c r="B64" i="40"/>
  <c r="I63" i="40"/>
  <c r="G64" i="40"/>
  <c r="I64" i="40" s="1"/>
  <c r="D65" i="40"/>
  <c r="H70" i="39"/>
  <c r="G70" i="39"/>
  <c r="E71" i="39"/>
  <c r="F71" i="39" s="1"/>
  <c r="H71" i="39" s="1"/>
  <c r="B71" i="39"/>
  <c r="E152" i="40" l="1"/>
  <c r="F152" i="40" s="1"/>
  <c r="H152" i="40" s="1"/>
  <c r="B152" i="40"/>
  <c r="E153" i="39"/>
  <c r="F153" i="39" s="1"/>
  <c r="H153" i="39" s="1"/>
  <c r="H65" i="41"/>
  <c r="G65" i="41"/>
  <c r="E66" i="41"/>
  <c r="F66" i="41" s="1"/>
  <c r="G66" i="41" s="1"/>
  <c r="E65" i="40"/>
  <c r="F65" i="40" s="1"/>
  <c r="G65" i="40" s="1"/>
  <c r="B65" i="40"/>
  <c r="G71" i="39"/>
  <c r="I71" i="39" s="1"/>
  <c r="D72" i="39"/>
  <c r="E72" i="39" s="1"/>
  <c r="F72" i="39" s="1"/>
  <c r="I70" i="39"/>
  <c r="G152" i="40" l="1"/>
  <c r="I152" i="40" s="1"/>
  <c r="D153" i="40"/>
  <c r="E153" i="40" s="1"/>
  <c r="F153" i="40" s="1"/>
  <c r="D154" i="39"/>
  <c r="B154" i="39" s="1"/>
  <c r="G153" i="39"/>
  <c r="I153" i="39" s="1"/>
  <c r="I65" i="41"/>
  <c r="D67" i="41"/>
  <c r="E67" i="41" s="1"/>
  <c r="F67" i="41" s="1"/>
  <c r="H67" i="41" s="1"/>
  <c r="H66" i="41"/>
  <c r="I66" i="41" s="1"/>
  <c r="H65" i="40"/>
  <c r="I65" i="40" s="1"/>
  <c r="D66" i="40"/>
  <c r="G72" i="39"/>
  <c r="D73" i="39"/>
  <c r="E73" i="39" s="1"/>
  <c r="E74" i="39" s="1"/>
  <c r="H72" i="39"/>
  <c r="D154" i="40" l="1"/>
  <c r="G153" i="40"/>
  <c r="I153" i="40" s="1"/>
  <c r="B153" i="40"/>
  <c r="H153" i="40"/>
  <c r="E154" i="39"/>
  <c r="F154" i="39" s="1"/>
  <c r="G154" i="39" s="1"/>
  <c r="I154" i="39" s="1"/>
  <c r="B67" i="41"/>
  <c r="D68" i="41"/>
  <c r="B68" i="41" s="1"/>
  <c r="G67" i="41"/>
  <c r="I67" i="41" s="1"/>
  <c r="I72" i="39"/>
  <c r="E66" i="40"/>
  <c r="F66" i="40" s="1"/>
  <c r="B66" i="40"/>
  <c r="B73" i="39"/>
  <c r="F73" i="39"/>
  <c r="H73" i="39" s="1"/>
  <c r="H154" i="39" l="1"/>
  <c r="E68" i="41"/>
  <c r="F68" i="41" s="1"/>
  <c r="G68" i="41" s="1"/>
  <c r="E154" i="40"/>
  <c r="F154" i="40" s="1"/>
  <c r="H154" i="40" s="1"/>
  <c r="B154" i="40"/>
  <c r="D155" i="39"/>
  <c r="E155" i="39" s="1"/>
  <c r="E156" i="39" s="1"/>
  <c r="D67" i="40"/>
  <c r="E67" i="40" s="1"/>
  <c r="H66" i="40"/>
  <c r="G66" i="40"/>
  <c r="G73" i="39"/>
  <c r="G74" i="39" s="1"/>
  <c r="H74" i="39"/>
  <c r="D69" i="41" l="1"/>
  <c r="H68" i="41"/>
  <c r="I68" i="41" s="1"/>
  <c r="D155" i="40"/>
  <c r="E155" i="40" s="1"/>
  <c r="E156" i="40" s="1"/>
  <c r="G154" i="40"/>
  <c r="I154" i="40" s="1"/>
  <c r="B155" i="39"/>
  <c r="F155" i="39"/>
  <c r="B67" i="40"/>
  <c r="I66" i="40"/>
  <c r="F67" i="40"/>
  <c r="D68" i="40" s="1"/>
  <c r="I73" i="39"/>
  <c r="I74" i="39" s="1"/>
  <c r="E69" i="41"/>
  <c r="F69" i="41" s="1"/>
  <c r="H69" i="41" s="1"/>
  <c r="B69" i="41"/>
  <c r="B155" i="40" l="1"/>
  <c r="F155" i="40"/>
  <c r="G155" i="40" s="1"/>
  <c r="I155" i="40" s="1"/>
  <c r="I156" i="40" s="1"/>
  <c r="G155" i="39"/>
  <c r="I155" i="39" s="1"/>
  <c r="I156" i="39" s="1"/>
  <c r="H155" i="39"/>
  <c r="H156" i="39" s="1"/>
  <c r="G67" i="40"/>
  <c r="H67" i="40"/>
  <c r="E68" i="40"/>
  <c r="F68" i="40" s="1"/>
  <c r="H68" i="40" s="1"/>
  <c r="B68" i="40"/>
  <c r="G69" i="41"/>
  <c r="I69" i="41" s="1"/>
  <c r="D70" i="41"/>
  <c r="H155" i="40" l="1"/>
  <c r="H156" i="40" s="1"/>
  <c r="D69" i="40"/>
  <c r="E69" i="40" s="1"/>
  <c r="F69" i="40" s="1"/>
  <c r="G69" i="40" s="1"/>
  <c r="G68" i="40"/>
  <c r="I68" i="40" s="1"/>
  <c r="I67" i="40"/>
  <c r="E70" i="41"/>
  <c r="F70" i="41" s="1"/>
  <c r="G70" i="41" s="1"/>
  <c r="B70" i="41"/>
  <c r="B69" i="40" l="1"/>
  <c r="H70" i="41"/>
  <c r="I70" i="41" s="1"/>
  <c r="D71" i="41"/>
  <c r="H69" i="40"/>
  <c r="I69" i="40" s="1"/>
  <c r="D70" i="40"/>
  <c r="E71" i="41" l="1"/>
  <c r="F71" i="41" s="1"/>
  <c r="D72" i="41" s="1"/>
  <c r="B71" i="41"/>
  <c r="E70" i="40"/>
  <c r="F70" i="40" s="1"/>
  <c r="B70" i="40"/>
  <c r="H71" i="41" l="1"/>
  <c r="G71" i="41"/>
  <c r="D71" i="40"/>
  <c r="E71" i="40" s="1"/>
  <c r="F71" i="40" s="1"/>
  <c r="G70" i="40"/>
  <c r="H70" i="40"/>
  <c r="E72" i="41"/>
  <c r="F72" i="41" s="1"/>
  <c r="G72" i="41" s="1"/>
  <c r="I70" i="40" l="1"/>
  <c r="B71" i="40"/>
  <c r="I71" i="41"/>
  <c r="H72" i="41"/>
  <c r="I72" i="41" s="1"/>
  <c r="D73" i="41"/>
  <c r="D72" i="40"/>
  <c r="G71" i="40"/>
  <c r="H71" i="40"/>
  <c r="I71" i="40" l="1"/>
  <c r="E73" i="41"/>
  <c r="E74" i="41" s="1"/>
  <c r="B73" i="41"/>
  <c r="E72" i="40"/>
  <c r="F72" i="40" s="1"/>
  <c r="G72" i="40" s="1"/>
  <c r="F73" i="41" l="1"/>
  <c r="G73" i="41" s="1"/>
  <c r="G74" i="41" s="1"/>
  <c r="H72" i="40"/>
  <c r="I72" i="40" s="1"/>
  <c r="D73" i="40"/>
  <c r="H73" i="41" l="1"/>
  <c r="I73" i="41" s="1"/>
  <c r="I74" i="41" s="1"/>
  <c r="E73" i="40"/>
  <c r="E74" i="40" s="1"/>
  <c r="B73" i="40"/>
  <c r="H74" i="41" l="1"/>
  <c r="F73" i="40"/>
  <c r="H73" i="40" l="1"/>
  <c r="G73" i="40"/>
  <c r="G74" i="40" s="1"/>
  <c r="H74" i="40" l="1"/>
  <c r="I73" i="40"/>
  <c r="I74" i="40" s="1"/>
  <c r="K18" i="17" l="1"/>
  <c r="L18" i="17" s="1"/>
  <c r="K35" i="17"/>
  <c r="L35" i="17" s="1"/>
  <c r="V35" i="17" s="1"/>
  <c r="K34" i="17"/>
  <c r="L34" i="17" s="1"/>
  <c r="V34" i="17" s="1"/>
  <c r="K30" i="17"/>
  <c r="L30" i="17" s="1"/>
  <c r="V30" i="17" s="1"/>
  <c r="K27" i="17"/>
  <c r="L27" i="17" s="1"/>
  <c r="V27" i="17" s="1"/>
  <c r="K33" i="17"/>
  <c r="L33" i="17" s="1"/>
  <c r="V33" i="17" s="1"/>
  <c r="K39" i="17"/>
  <c r="L39" i="17" s="1"/>
  <c r="V39" i="17" s="1"/>
  <c r="K31" i="17"/>
  <c r="L31" i="17" s="1"/>
  <c r="V31" i="17" s="1"/>
  <c r="K32" i="17"/>
  <c r="L32" i="17" s="1"/>
  <c r="V32" i="17" s="1"/>
  <c r="K29" i="17"/>
  <c r="L29" i="17" s="1"/>
  <c r="V29" i="17" s="1"/>
  <c r="K23" i="17"/>
  <c r="L23" i="17" s="1"/>
  <c r="V23" i="17" s="1"/>
  <c r="K21" i="17"/>
  <c r="L21" i="17" s="1"/>
  <c r="V21" i="17" s="1"/>
  <c r="K36" i="17"/>
  <c r="L36" i="17" s="1"/>
  <c r="V36" i="17" s="1"/>
  <c r="K19" i="17"/>
  <c r="L19" i="17" s="1"/>
  <c r="V19" i="17" s="1"/>
  <c r="K37" i="17"/>
  <c r="L37" i="17" s="1"/>
  <c r="V37" i="17" s="1"/>
  <c r="K20" i="17"/>
  <c r="L20" i="17" s="1"/>
  <c r="V20" i="17" s="1"/>
  <c r="K24" i="17"/>
  <c r="L24" i="17" s="1"/>
  <c r="V24" i="17" s="1"/>
  <c r="K38" i="17"/>
  <c r="L38" i="17" s="1"/>
  <c r="V38" i="17" s="1"/>
  <c r="K28" i="17"/>
  <c r="L28" i="17" s="1"/>
  <c r="V28" i="17" s="1"/>
  <c r="K25" i="17"/>
  <c r="L25" i="17" s="1"/>
  <c r="V25" i="17" s="1"/>
  <c r="K26" i="17"/>
  <c r="L26" i="17" s="1"/>
  <c r="V26" i="17" s="1"/>
  <c r="V18" i="17" l="1"/>
  <c r="L41" i="17"/>
  <c r="V41" i="17" l="1"/>
  <c r="Q18" i="17" l="1"/>
  <c r="R18" i="17" s="1"/>
  <c r="Q24" i="17"/>
  <c r="R24" i="17" s="1"/>
  <c r="T24" i="17" s="1"/>
  <c r="Q39" i="17"/>
  <c r="R39" i="17" s="1"/>
  <c r="T39" i="17" s="1"/>
  <c r="Q32" i="17"/>
  <c r="R32" i="17" s="1"/>
  <c r="T32" i="17" s="1"/>
  <c r="Q27" i="17"/>
  <c r="R27" i="17" s="1"/>
  <c r="T27" i="17" s="1"/>
  <c r="Q20" i="17"/>
  <c r="R20" i="17" s="1"/>
  <c r="T20" i="17" s="1"/>
  <c r="Q29" i="17"/>
  <c r="R29" i="17" s="1"/>
  <c r="T29" i="17" s="1"/>
  <c r="Q30" i="17"/>
  <c r="R30" i="17" s="1"/>
  <c r="T30" i="17" s="1"/>
  <c r="Q22" i="17"/>
  <c r="R22" i="17" s="1"/>
  <c r="T22" i="17" s="1"/>
  <c r="Q31" i="17"/>
  <c r="R31" i="17" s="1"/>
  <c r="T31" i="17" s="1"/>
  <c r="Q36" i="17"/>
  <c r="R36" i="17" s="1"/>
  <c r="T36" i="17" s="1"/>
  <c r="Q25" i="17"/>
  <c r="R25" i="17" s="1"/>
  <c r="T25" i="17" s="1"/>
  <c r="Q26" i="17"/>
  <c r="R26" i="17" s="1"/>
  <c r="T26" i="17" s="1"/>
  <c r="Q28" i="17"/>
  <c r="R28" i="17" s="1"/>
  <c r="T28" i="17" s="1"/>
  <c r="Q37" i="17"/>
  <c r="R37" i="17" s="1"/>
  <c r="T37" i="17" s="1"/>
  <c r="Q19" i="17"/>
  <c r="R19" i="17" s="1"/>
  <c r="T19" i="17" s="1"/>
  <c r="Q34" i="17"/>
  <c r="R34" i="17" s="1"/>
  <c r="T34" i="17" s="1"/>
  <c r="Q33" i="17"/>
  <c r="R33" i="17" s="1"/>
  <c r="T33" i="17" s="1"/>
  <c r="Q21" i="17"/>
  <c r="R21" i="17" s="1"/>
  <c r="T21" i="17" s="1"/>
  <c r="Q23" i="17"/>
  <c r="R23" i="17" s="1"/>
  <c r="T23" i="17" s="1"/>
  <c r="Q35" i="17"/>
  <c r="R35" i="17" s="1"/>
  <c r="T35" i="17" s="1"/>
  <c r="Q38" i="17"/>
  <c r="R38" i="17" s="1"/>
  <c r="T38" i="17" s="1"/>
  <c r="T18" i="17" l="1"/>
  <c r="T41" i="17" s="1"/>
  <c r="R4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R.Pennybaker</author>
    <author>AEP</author>
  </authors>
  <commentList>
    <comment ref="C16" authorId="0" shapeId="0" xr:uid="{00000000-0006-0000-0000-000001000000}">
      <text>
        <r>
          <rPr>
            <b/>
            <sz val="8"/>
            <color indexed="81"/>
            <rFont val="Tahoma"/>
            <family val="2"/>
          </rPr>
          <t>R.Pennybaker:</t>
        </r>
        <r>
          <rPr>
            <sz val="8"/>
            <color indexed="81"/>
            <rFont val="Tahoma"/>
            <family val="2"/>
          </rPr>
          <t xml:space="preserve">
Project Descriptions are in cell [P.xxx]!$D$7]</t>
        </r>
      </text>
    </comment>
    <comment ref="D16" authorId="0" shapeId="0" xr:uid="{00000000-0006-0000-0000-000002000000}">
      <text>
        <r>
          <rPr>
            <b/>
            <sz val="8"/>
            <color indexed="81"/>
            <rFont val="Tahoma"/>
            <family val="2"/>
          </rPr>
          <t>R.Pennybaker:</t>
        </r>
        <r>
          <rPr>
            <sz val="8"/>
            <color indexed="81"/>
            <rFont val="Tahoma"/>
            <family val="2"/>
          </rPr>
          <t xml:space="preserve">
Year In Service is in cell [P.xxx]!$D$11]</t>
        </r>
      </text>
    </comment>
    <comment ref="E16" authorId="0" shapeId="0" xr:uid="{00000000-0006-0000-0000-000003000000}">
      <text>
        <r>
          <rPr>
            <b/>
            <sz val="8"/>
            <color indexed="81"/>
            <rFont val="Tahoma"/>
            <family val="2"/>
          </rPr>
          <t>R.Pennybaker:</t>
        </r>
        <r>
          <rPr>
            <sz val="8"/>
            <color indexed="81"/>
            <rFont val="Tahoma"/>
            <family val="2"/>
          </rPr>
          <t xml:space="preserve">
Projected Base ARR is in cell [P.xxx]!$N$5]</t>
        </r>
      </text>
    </comment>
    <comment ref="F16" authorId="0" shapeId="0" xr:uid="{00000000-0006-0000-0000-000004000000}">
      <text>
        <r>
          <rPr>
            <b/>
            <sz val="8"/>
            <color indexed="81"/>
            <rFont val="Tahoma"/>
            <family val="2"/>
          </rPr>
          <t>R.Pennybaker:</t>
        </r>
        <r>
          <rPr>
            <sz val="8"/>
            <color indexed="81"/>
            <rFont val="Tahoma"/>
            <family val="2"/>
          </rPr>
          <t xml:space="preserve">
Projected Incentive ARR is in WS-F cell N7.</t>
        </r>
      </text>
    </comment>
    <comment ref="I16" authorId="1" shapeId="0" xr:uid="{00000000-0006-0000-0000-000005000000}">
      <text>
        <r>
          <rPr>
            <b/>
            <sz val="8"/>
            <color indexed="81"/>
            <rFont val="Tahoma"/>
            <family val="2"/>
          </rPr>
          <t>AEP:</t>
        </r>
        <r>
          <rPr>
            <sz val="8"/>
            <color indexed="81"/>
            <rFont val="Tahoma"/>
            <family val="2"/>
          </rPr>
          <t xml:space="preserve">
"TRUE-UP Adjustment (i.e., Forecast Error) is from WS-G sheet [P.00x] in cell M89.</t>
        </r>
      </text>
    </comment>
    <comment ref="J16" authorId="1" shapeId="0" xr:uid="{00000000-0006-0000-0000-000006000000}">
      <text>
        <r>
          <rPr>
            <b/>
            <sz val="8"/>
            <color indexed="81"/>
            <rFont val="Tahoma"/>
            <family val="2"/>
          </rPr>
          <t>AEP:</t>
        </r>
        <r>
          <rPr>
            <sz val="8"/>
            <color indexed="81"/>
            <rFont val="Tahoma"/>
            <family val="2"/>
          </rPr>
          <t xml:space="preserve">
"Manually input from previous year's update "</t>
        </r>
        <r>
          <rPr>
            <i/>
            <sz val="8"/>
            <color indexed="81"/>
            <rFont val="Tahoma"/>
            <family val="2"/>
          </rPr>
          <t>Schedule 11 Rates by Project</t>
        </r>
        <r>
          <rPr>
            <sz val="8"/>
            <color indexed="81"/>
            <rFont val="Tahoma"/>
            <family val="2"/>
          </rPr>
          <t>" sheet.</t>
        </r>
      </text>
    </comment>
    <comment ref="K16" authorId="0" shapeId="0" xr:uid="{00000000-0006-0000-0000-000007000000}">
      <text>
        <r>
          <rPr>
            <b/>
            <sz val="8"/>
            <color indexed="81"/>
            <rFont val="Tahoma"/>
            <family val="2"/>
          </rPr>
          <t>MW:</t>
        </r>
        <r>
          <rPr>
            <sz val="8"/>
            <color indexed="81"/>
            <rFont val="Tahoma"/>
            <family val="2"/>
          </rPr>
          <t xml:space="preserve">
These values reflect what AEP booked for the calendar year 2012 for base plan revenues received from SPP.</t>
        </r>
      </text>
    </comment>
    <comment ref="L16" authorId="0" shapeId="0" xr:uid="{00000000-0006-0000-0000-000008000000}">
      <text>
        <r>
          <rPr>
            <b/>
            <sz val="8"/>
            <color indexed="81"/>
            <rFont val="Tahoma"/>
            <family val="2"/>
          </rPr>
          <t>R.Pennybaker:</t>
        </r>
        <r>
          <rPr>
            <sz val="8"/>
            <color indexed="81"/>
            <rFont val="Tahoma"/>
            <family val="2"/>
          </rPr>
          <t xml:space="preserve">
This can also be referred to as the Billing Error.</t>
        </r>
      </text>
    </comment>
    <comment ref="N16" authorId="1" shapeId="0" xr:uid="{00000000-0006-0000-0000-000009000000}">
      <text>
        <r>
          <rPr>
            <b/>
            <sz val="8"/>
            <color indexed="81"/>
            <rFont val="Tahoma"/>
            <family val="2"/>
          </rPr>
          <t>AEP:</t>
        </r>
        <r>
          <rPr>
            <sz val="8"/>
            <color indexed="81"/>
            <rFont val="Tahoma"/>
            <family val="2"/>
          </rPr>
          <t xml:space="preserve">
This is "Prior Year True-Up (WS-G)"; and "Incentive Amounts" O88</t>
        </r>
      </text>
    </comment>
    <comment ref="O16" authorId="1" shapeId="0" xr:uid="{00000000-0006-0000-0000-00000A000000}">
      <text>
        <r>
          <rPr>
            <b/>
            <sz val="8"/>
            <color indexed="81"/>
            <rFont val="Tahoma"/>
            <family val="2"/>
          </rPr>
          <t>AEP:</t>
        </r>
        <r>
          <rPr>
            <sz val="8"/>
            <color indexed="81"/>
            <rFont val="Tahoma"/>
            <family val="2"/>
          </rPr>
          <t xml:space="preserve">
Prior Year Projected (WS-F) and Incentive Amounts [cell O87]</t>
        </r>
      </text>
    </comment>
    <comment ref="C21" authorId="1" shapeId="0" xr:uid="{00000000-0006-0000-0000-00000B000000}">
      <text>
        <r>
          <rPr>
            <b/>
            <sz val="9"/>
            <color indexed="81"/>
            <rFont val="Tahoma"/>
            <family val="2"/>
          </rPr>
          <t xml:space="preserve">AEP:
</t>
        </r>
        <r>
          <rPr>
            <sz val="9"/>
            <color indexed="81"/>
            <rFont val="Tahoma"/>
            <family val="2"/>
          </rPr>
          <t xml:space="preserve">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K41" authorId="0" shapeId="0" xr:uid="{00000000-0006-0000-0000-00000C000000}">
      <text>
        <r>
          <rPr>
            <b/>
            <sz val="8"/>
            <color indexed="81"/>
            <rFont val="Tahoma"/>
            <family val="2"/>
          </rPr>
          <t>R.Pennybaker:</t>
        </r>
        <r>
          <rPr>
            <sz val="8"/>
            <color indexed="81"/>
            <rFont val="Tahoma"/>
            <family val="2"/>
          </rPr>
          <t xml:space="preserve">
This value ties to interest worksheet.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R.Pennybaker</author>
  </authors>
  <commentList>
    <comment ref="L19" authorId="0" shapeId="0" xr:uid="{00000000-0006-0000-0100-000001000000}">
      <text>
        <r>
          <rPr>
            <b/>
            <sz val="8"/>
            <color indexed="81"/>
            <rFont val="Tahoma"/>
            <family val="2"/>
          </rPr>
          <t>R.Pennybaker:</t>
        </r>
        <r>
          <rPr>
            <sz val="8"/>
            <color indexed="81"/>
            <rFont val="Tahoma"/>
            <family val="2"/>
          </rPr>
          <t xml:space="preserve">
This value comes from Formula Template file via data INPUT table below.  Then, it supuplies the project year value to the P.xxx sheets.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R.Pennybaker</author>
  </authors>
  <commentList>
    <comment ref="M16" authorId="0" shapeId="0" xr:uid="{00000000-0006-0000-0200-000001000000}">
      <text>
        <r>
          <rPr>
            <b/>
            <sz val="8"/>
            <color indexed="81"/>
            <rFont val="Tahoma"/>
            <family val="2"/>
          </rPr>
          <t>R.Pennybaker:</t>
        </r>
        <r>
          <rPr>
            <sz val="8"/>
            <color indexed="81"/>
            <rFont val="Tahoma"/>
            <family val="2"/>
          </rPr>
          <t xml:space="preserve">
This cell comes from Formula Template file.  Then, it drives all the P.xxx sheets.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AEP</author>
  </authors>
  <commentList>
    <comment ref="D10" authorId="0" shapeId="0" xr:uid="{00000000-0006-0000-0600-000001000000}">
      <text>
        <r>
          <rPr>
            <b/>
            <sz val="9"/>
            <color indexed="81"/>
            <rFont val="Tahoma"/>
            <family val="2"/>
          </rPr>
          <t>AEP:</t>
        </r>
        <r>
          <rPr>
            <sz val="9"/>
            <color indexed="81"/>
            <rFont val="Tahoma"/>
            <family val="2"/>
          </rPr>
          <t xml:space="preserve">
Per SPP NTC, Investment (EOY) is input as 94% of actual total investment provided by Planning.</t>
        </r>
      </text>
    </comment>
  </commentList>
</comments>
</file>

<file path=xl/sharedStrings.xml><?xml version="1.0" encoding="utf-8"?>
<sst xmlns="http://schemas.openxmlformats.org/spreadsheetml/2006/main" count="3085" uniqueCount="309">
  <si>
    <t>I.</t>
  </si>
  <si>
    <t xml:space="preserve">   Project ROE Incentive Adder (Enter as whole number)</t>
  </si>
  <si>
    <t>&lt;==Incentive ROE  Cannot Exceed 12.45%</t>
  </si>
  <si>
    <t xml:space="preserve">   Determine R  ( cost of long term debt, cost of preferred stock and percent is from Attachment H, lns 158 through160)</t>
  </si>
  <si>
    <t>SUMMARY OF PROJECTED ANNUAL BASE PLAN AND  NON-BASE PLAN REVENUE REQUIREMENTS</t>
  </si>
  <si>
    <t>%</t>
  </si>
  <si>
    <t>Cost</t>
  </si>
  <si>
    <t>Weighted cost</t>
  </si>
  <si>
    <t>Long Term Debt</t>
  </si>
  <si>
    <t>Rev Require</t>
  </si>
  <si>
    <t xml:space="preserve"> W Incentives</t>
  </si>
  <si>
    <t>Incentive Amounts</t>
  </si>
  <si>
    <t>Preferred Stock</t>
  </si>
  <si>
    <t>Common Stock</t>
  </si>
  <si>
    <t>PROJECTED YEAR</t>
  </si>
  <si>
    <t>R =</t>
  </si>
  <si>
    <r>
      <t xml:space="preserve">Note:  </t>
    </r>
    <r>
      <rPr>
        <sz val="10"/>
        <rFont val="Arial"/>
        <family val="2"/>
      </rPr>
      <t xml:space="preserve">Review formulas in summary to ensure the proper year's revenue requirement is being </t>
    </r>
  </si>
  <si>
    <t>accumulated for each project from the tables below.</t>
  </si>
  <si>
    <t xml:space="preserve">   R   (fom A. above)</t>
  </si>
  <si>
    <t xml:space="preserve">   Return (Rate Base  x  R)</t>
  </si>
  <si>
    <t xml:space="preserve">   Return   (from B. above)</t>
  </si>
  <si>
    <t xml:space="preserve">   EIT=(T/(1-T)) * (1-(WCLTD/WACC)) =</t>
  </si>
  <si>
    <t xml:space="preserve">   Income Tax Calculation  (Return  x  EIT)</t>
  </si>
  <si>
    <t xml:space="preserve">   Income Taxes</t>
  </si>
  <si>
    <t>II.</t>
  </si>
  <si>
    <t xml:space="preserve">   Net Revenue Requirement, Less Return and Taxes</t>
  </si>
  <si>
    <t xml:space="preserve">   Income Taxes  (from I.C. above)</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</si>
  <si>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</si>
  <si>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</si>
  <si>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</si>
  <si>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</si>
  <si>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</si>
  <si>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</si>
  <si>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</si>
  <si>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</si>
  <si>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III.</t>
  </si>
  <si>
    <t>Calculation of Composite Depreciation Rate</t>
  </si>
  <si>
    <t>Transmission Plant @ Beginning of Period (P.206, ln 58)</t>
  </si>
  <si>
    <t>Transmission Plant @ End of Period (P.207, ln 58)</t>
  </si>
  <si>
    <t>Composite Depreciation Rate</t>
  </si>
  <si>
    <t>Depreciable Life for Composite Depreciation Rate</t>
  </si>
  <si>
    <t>Round to nearest whole year</t>
  </si>
  <si>
    <t>IV.</t>
  </si>
  <si>
    <t>Determine the Revenue Requirement &amp; Additional Revenue Requirement for facilities receiving incentives.</t>
  </si>
  <si>
    <t>A.   Facilities receiving incentives accepted by FERC in Docket No.</t>
  </si>
  <si>
    <t xml:space="preserve">   (e.g. ER05-925-000)</t>
  </si>
  <si>
    <t xml:space="preserve">Project Description: </t>
  </si>
  <si>
    <t>Current Projected Year Incentive ARR</t>
  </si>
  <si>
    <t>DETAILS</t>
  </si>
  <si>
    <t>Investment</t>
  </si>
  <si>
    <t>Current Year</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</si>
  <si>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</si>
  <si>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</si>
  <si>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</si>
  <si>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</si>
  <si>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</si>
  <si>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</si>
  <si>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</si>
  <si>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</si>
  <si>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</si>
  <si>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</si>
  <si>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No</t>
  </si>
  <si>
    <t>Annual Depreciation Expense</t>
  </si>
  <si>
    <t>Depreciation</t>
  </si>
  <si>
    <t>Ending</t>
  </si>
  <si>
    <t>Additional Rev.</t>
  </si>
  <si>
    <t>Project Rev Req't True-up</t>
  </si>
  <si>
    <t>True-up of Incentive</t>
  </si>
  <si>
    <t>Year</t>
  </si>
  <si>
    <t>Balance</t>
  </si>
  <si>
    <t>Expense</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</si>
  <si>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</si>
  <si>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</si>
  <si>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</si>
  <si>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</si>
  <si>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</si>
  <si>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</si>
  <si>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</si>
  <si>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TP2004033</t>
  </si>
  <si>
    <t>SUMMARY OF TRUED-UP ANNUAL REVENUE REQUIREMENTS FOR SPP BPU &amp; NON-BPU PROJECTS</t>
  </si>
  <si>
    <t>TRUE-UP YEAR</t>
  </si>
  <si>
    <t>Determine the Revenue Requirement, and Additional Revenue Requirement for facilities receiving incentives.</t>
  </si>
  <si>
    <t>Project Description:</t>
  </si>
  <si>
    <t>Details</t>
  </si>
  <si>
    <t>True-Up Year</t>
  </si>
  <si>
    <t>CUMMULATIVE HISTORY OF TRUED-UP ANNUAL REVENUE REQUIREMENTS:</t>
  </si>
  <si>
    <t xml:space="preserve">          TEMPLATE BELOW TO MAINTAIN HISTORY OF TRUED-UP ARRS OVER THE </t>
  </si>
  <si>
    <t>Average</t>
  </si>
  <si>
    <t>Incentive Rev.</t>
  </si>
  <si>
    <t>BPU Rev Req't True-up</t>
  </si>
  <si>
    <r>
      <t xml:space="preserve">** </t>
    </r>
    <r>
      <rPr>
        <sz val="10"/>
        <rFont val="Arial"/>
        <family val="2"/>
      </rPr>
      <t xml:space="preserve"> This is the total amount that needs to be reported to SPP for billing to all regions. </t>
    </r>
  </si>
  <si>
    <t>BPU Rev. Req't.From Prior Year Template</t>
  </si>
  <si>
    <r>
      <t xml:space="preserve">   Return   (from </t>
    </r>
    <r>
      <rPr>
        <sz val="10"/>
        <rFont val="MS Serif"/>
        <family val="1"/>
      </rPr>
      <t>I</t>
    </r>
    <r>
      <rPr>
        <sz val="10"/>
        <rFont val="Arial"/>
        <family val="2"/>
      </rPr>
      <t>.B. above)</t>
    </r>
  </si>
  <si>
    <r>
      <t xml:space="preserve">Requirement </t>
    </r>
    <r>
      <rPr>
        <b/>
        <sz val="10"/>
        <color indexed="10"/>
        <rFont val="Arial"/>
        <family val="2"/>
      </rPr>
      <t>##</t>
    </r>
  </si>
  <si>
    <r>
      <t>with Incentives</t>
    </r>
    <r>
      <rPr>
        <b/>
        <sz val="10"/>
        <color indexed="10"/>
        <rFont val="Arial"/>
        <family val="2"/>
      </rPr>
      <t xml:space="preserve"> **</t>
    </r>
  </si>
  <si>
    <r>
      <t>##</t>
    </r>
    <r>
      <rPr>
        <b/>
        <sz val="10"/>
        <rFont val="Arial"/>
        <family val="2"/>
      </rPr>
      <t xml:space="preserve"> This is the calculation of  additional incentive revenue on projects deemed by the FERC to be eligible for an incentive return.  This</t>
    </r>
  </si>
  <si>
    <r>
      <t xml:space="preserve">## </t>
    </r>
    <r>
      <rPr>
        <b/>
        <sz val="10"/>
        <color indexed="8"/>
        <rFont val="Arial"/>
        <family val="2"/>
      </rPr>
      <t>This is the calculation of  additional incentive revenue on projects deemed by the FERC to be eligible for an incentive return.  This</t>
    </r>
  </si>
  <si>
    <t>Long Term Debt %</t>
  </si>
  <si>
    <t>Long Term Debt Cost</t>
  </si>
  <si>
    <t>Preferred Stock %</t>
  </si>
  <si>
    <t>Preferred Stock Cost</t>
  </si>
  <si>
    <t>Common Stock %</t>
  </si>
  <si>
    <t>STEP 2</t>
  </si>
  <si>
    <t>STEP 3</t>
  </si>
  <si>
    <t xml:space="preserve">       Apportionment Factor to Texas (Worksheet K, ln 12)</t>
  </si>
  <si>
    <t>Black text is not used in this workbook.</t>
  </si>
  <si>
    <t>Blue text is used by this workbbok and driven by non WS-F Formula Rate template worksheets</t>
  </si>
  <si>
    <t>SEE INPUT/OUTPUT ranges to the right  ----&gt;</t>
  </si>
  <si>
    <t>SEE INPUT/OUTPUT ranges to the right  ------&gt;</t>
  </si>
  <si>
    <t xml:space="preserve">AEP West SPP Member Companies </t>
  </si>
  <si>
    <t>See INPUT/OUTPUT ranges below.</t>
  </si>
  <si>
    <t>STEP 1</t>
  </si>
  <si>
    <t>Is done first in the main Formula Rate template  Worksheet F.</t>
  </si>
  <si>
    <t>STEP 4</t>
  </si>
  <si>
    <t>Is done last in the main Formula Rate template  Worksheet F.</t>
  </si>
  <si>
    <t>Copy to main FR Template</t>
  </si>
  <si>
    <t>Project Description</t>
  </si>
  <si>
    <t>Is done first in the main Formula Rate template  Worksheet G.</t>
  </si>
  <si>
    <t>Is done last in the main Formula Rate template  Worksheet G.</t>
  </si>
  <si>
    <t>Blue text below is used by this workbbok and comes from main Formula Rate template WS-G sheet.</t>
  </si>
  <si>
    <t>As Projected in Prior Year WS F   Rev Require</t>
  </si>
  <si>
    <t>As Projected in Prior Year WS F    W Incentives</t>
  </si>
  <si>
    <t>Actual after True-up Rev Require</t>
  </si>
  <si>
    <t>Actual after True-up  W Incentives</t>
  </si>
  <si>
    <r>
      <t>Worksheet F</t>
    </r>
    <r>
      <rPr>
        <sz val="14"/>
        <rFont val="Arial"/>
        <family val="2"/>
      </rPr>
      <t xml:space="preserve"> - Calculation of PROJECTED Annual Revenue Requirement for BPU and Special-billed Projects</t>
    </r>
  </si>
  <si>
    <r>
      <t>Worksheet G</t>
    </r>
    <r>
      <rPr>
        <sz val="14"/>
        <rFont val="Arial"/>
        <family val="2"/>
      </rPr>
      <t xml:space="preserve"> - Calculation of TRUED-UP Annual Revenue Requirement for BPU and Special-billed Projects</t>
    </r>
  </si>
  <si>
    <t xml:space="preserve">Worksheet F </t>
  </si>
  <si>
    <t>&lt;----Worksheet data is for</t>
  </si>
  <si>
    <t>Worksheet F</t>
  </si>
  <si>
    <t>Worksheet G</t>
  </si>
  <si>
    <r>
      <t>##</t>
    </r>
    <r>
      <rPr>
        <sz val="10"/>
        <rFont val="Arial"/>
        <family val="2"/>
      </rPr>
      <t xml:space="preserve"> </t>
    </r>
    <r>
      <rPr>
        <b/>
        <sz val="10"/>
        <color indexed="8"/>
        <rFont val="Arial"/>
        <family val="2"/>
      </rPr>
      <t>This is the calculation of  additional incentive revenue on projects deemed by the FERC to be eligible for an incentive return.  This</t>
    </r>
  </si>
  <si>
    <t xml:space="preserve">(Worksheet F)    </t>
  </si>
  <si>
    <t xml:space="preserve">(Worksheet G)    </t>
  </si>
  <si>
    <t>basis points</t>
  </si>
  <si>
    <t>w/Incentives</t>
  </si>
  <si>
    <t xml:space="preserve">True-Up Adjustment  </t>
  </si>
  <si>
    <t>AEP Transmission Formula Rate Template</t>
  </si>
  <si>
    <t xml:space="preserve">AEP Schedule 11 Revenue Requirement Including True-Up of Prior Collections </t>
  </si>
  <si>
    <t>(A)</t>
  </si>
  <si>
    <t>(B)</t>
  </si>
  <si>
    <t>(C )</t>
  </si>
  <si>
    <t>(D)</t>
  </si>
  <si>
    <t>(E)</t>
  </si>
  <si>
    <t>(F)</t>
  </si>
  <si>
    <t>(H)</t>
  </si>
  <si>
    <t>(I)</t>
  </si>
  <si>
    <t>(M)</t>
  </si>
  <si>
    <t>Base ARR</t>
  </si>
  <si>
    <t>Owner</t>
  </si>
  <si>
    <t>Year in Service</t>
  </si>
  <si>
    <t>Incentive</t>
  </si>
  <si>
    <t>Total</t>
  </si>
  <si>
    <t>True-up</t>
  </si>
  <si>
    <t>As Billed</t>
  </si>
  <si>
    <t>Change</t>
  </si>
  <si>
    <t>Interest</t>
  </si>
  <si>
    <t>Sheet Name</t>
  </si>
  <si>
    <t>AEP TOTALS</t>
  </si>
  <si>
    <t>Indirect References</t>
  </si>
  <si>
    <r>
      <t xml:space="preserve">Calculation of Schedule </t>
    </r>
    <r>
      <rPr>
        <sz val="12"/>
        <rFont val="Arial"/>
        <family val="2"/>
      </rPr>
      <t>11 Revenue Requirements For AEP Transmission Projects</t>
    </r>
  </si>
  <si>
    <r>
      <t xml:space="preserve">   DO </t>
    </r>
    <r>
      <rPr>
        <b/>
        <sz val="10"/>
        <color indexed="10"/>
        <rFont val="Arial"/>
        <family val="2"/>
      </rPr>
      <t>NOT</t>
    </r>
    <r>
      <rPr>
        <b/>
        <sz val="10"/>
        <rFont val="Arial"/>
        <family val="2"/>
      </rPr>
      <t xml:space="preserve"> delete this row or the formulas above will not work.</t>
    </r>
  </si>
  <si>
    <t>from WS-F &amp; G</t>
  </si>
  <si>
    <t>Do NOT delete.</t>
  </si>
  <si>
    <r>
      <t xml:space="preserve">TRUE-UP Adjustment </t>
    </r>
    <r>
      <rPr>
        <sz val="10"/>
        <rFont val="Arial"/>
        <family val="2"/>
      </rPr>
      <t>(WS-G)</t>
    </r>
  </si>
  <si>
    <r>
      <t xml:space="preserve">Base ARR
</t>
    </r>
    <r>
      <rPr>
        <sz val="10"/>
        <rFont val="Arial"/>
        <family val="2"/>
      </rPr>
      <t>(WS-F)</t>
    </r>
  </si>
  <si>
    <t>COLLECTION Adjustment</t>
  </si>
  <si>
    <t>Incentive ARR</t>
  </si>
  <si>
    <t>(J)</t>
  </si>
  <si>
    <t>(L)</t>
  </si>
  <si>
    <t>(O)</t>
  </si>
  <si>
    <t>Total Adjustments before Interest</t>
  </si>
  <si>
    <t>the column above</t>
  </si>
  <si>
    <t>is used to feed interest</t>
  </si>
  <si>
    <t>calculation engine and its</t>
  </si>
  <si>
    <t>output is put into the interest</t>
  </si>
  <si>
    <t>column to left (O).</t>
  </si>
  <si>
    <t>PROJECTED Rev. Req't From Prior Year Template</t>
  </si>
  <si>
    <t>TRUE-UP Rev. Req't.From Prior Year Template</t>
  </si>
  <si>
    <t xml:space="preserve"> Worksheet G</t>
  </si>
  <si>
    <r>
      <t xml:space="preserve">As Billed
by SPP
</t>
    </r>
    <r>
      <rPr>
        <sz val="10"/>
        <rFont val="Arial"/>
        <family val="2"/>
      </rPr>
      <t>(for Prior Yr
T-Service)</t>
    </r>
  </si>
  <si>
    <t xml:space="preserve"> &lt;--- this value goes to sched 11 interest support file</t>
  </si>
  <si>
    <r>
      <t xml:space="preserve">Total Adjustments
</t>
    </r>
    <r>
      <rPr>
        <sz val="8"/>
        <rFont val="Arial"/>
        <family val="2"/>
      </rPr>
      <t>(True-Up, Billing, &amp; Interest)</t>
    </r>
  </si>
  <si>
    <t>OKT</t>
  </si>
  <si>
    <t>OKT Total</t>
  </si>
  <si>
    <t>Worksheet F --- DATA INPUT (Paste.Values) from TEMPLATE OKT WS F</t>
  </si>
  <si>
    <t>EXPORT DATA to Template OKT WS F</t>
  </si>
  <si>
    <t>DATA INPUT (Paste.Values) from main FR TEMPLATE OKT WS G</t>
  </si>
  <si>
    <t>EXPORT DATA to main FR Template OKT WS G</t>
  </si>
  <si>
    <t>OKLAHOMA TRANSMISSION COMPANY</t>
  </si>
  <si>
    <t>Worksheet F  --  OKLAHOMA TRANSMISSION COMPANY  --  Calculation of "Projected" ARR for SPP Base Plan Upgrade Projects</t>
  </si>
  <si>
    <t>Worksheet G  --  OKLAHOMA TRANSMISSION COMPANY  --  Calculation of "Trued-Up" ARR for SPP Base Plan Upgrade Projects</t>
  </si>
  <si>
    <t>Snyder 138 kV Terminal Addition</t>
  </si>
  <si>
    <t>Coffeyville T to Dearing 138 kV Rebuild - 1.1 miles</t>
  </si>
  <si>
    <t>Historic / Projected Beginning</t>
  </si>
  <si>
    <t>OKT.001</t>
  </si>
  <si>
    <t>OKT.002</t>
  </si>
  <si>
    <t>TP2009013</t>
  </si>
  <si>
    <t>TP2008013</t>
  </si>
  <si>
    <t>TP2009090</t>
  </si>
  <si>
    <t>Tulsa Power Station Reactor</t>
  </si>
  <si>
    <t>TP2008079</t>
  </si>
  <si>
    <t xml:space="preserve">Bartlesville SE to Coffeyville T Rebuild </t>
  </si>
  <si>
    <t>OKT.003</t>
  </si>
  <si>
    <t>OKT.004</t>
  </si>
  <si>
    <t>TP2007167</t>
  </si>
  <si>
    <t>TP2009095</t>
  </si>
  <si>
    <t xml:space="preserve">Canadian River - McAlester City 138 kV Line Conversion </t>
  </si>
  <si>
    <t>OKT.005</t>
  </si>
  <si>
    <t>OKT.006</t>
  </si>
  <si>
    <t>NOTE:  Project became BPU inligible (see Docket ER12-981) thus investment amout and Proj Beg Balance for 2013 forward set to $0.</t>
  </si>
  <si>
    <t>NOTE:  Project became BPU inligible (see Docket ER12-981) please see Note on Project's WS-F.  No changes made to this WS-G.</t>
  </si>
  <si>
    <t>Install 345kV terminal at Valliant***</t>
  </si>
  <si>
    <t>*&lt;$100K investment  *** Project became BPU ineligible (see Project's Notes)</t>
  </si>
  <si>
    <t>TP2011093</t>
  </si>
  <si>
    <t xml:space="preserve">Cornville Station Conversion </t>
  </si>
  <si>
    <t>Coweta 69 kV Capacitor</t>
  </si>
  <si>
    <t>OKT.007</t>
  </si>
  <si>
    <t>OKT.008</t>
  </si>
  <si>
    <t>TP2012141</t>
  </si>
  <si>
    <t>TP2010094</t>
  </si>
  <si>
    <t>Prattville-Bluebell 138 kV</t>
  </si>
  <si>
    <t>TP2013002</t>
  </si>
  <si>
    <t>Grady Customer Connection</t>
  </si>
  <si>
    <t>TP2012112</t>
  </si>
  <si>
    <t>Darlington-Red Rock 138 kV line</t>
  </si>
  <si>
    <t>OKT.009</t>
  </si>
  <si>
    <t>OKT.010</t>
  </si>
  <si>
    <t>OKT.011</t>
  </si>
  <si>
    <t>OKT.012</t>
  </si>
  <si>
    <t>Wapanucka Customer Connection</t>
  </si>
  <si>
    <t>***Sch. 11 recovery commenced in 2015 rate year***</t>
  </si>
  <si>
    <t>Ellis 138 kV</t>
  </si>
  <si>
    <t>TP2012055</t>
  </si>
  <si>
    <t>OKT.013</t>
  </si>
  <si>
    <t>Valliant-NW Texarkana 345 kV</t>
  </si>
  <si>
    <t>TP 2009089</t>
  </si>
  <si>
    <t>OKT.014</t>
  </si>
  <si>
    <t>NOTE:  Original NTC indicates only 94% to be Base Plan.</t>
  </si>
  <si>
    <t>&lt;&lt; 2016-present ARR values based on 94% actual cost.  Yrs 2011-15 ARR values based on 100% actual cost (SPP scaled ARR data) &gt;&gt;</t>
  </si>
  <si>
    <t>OKT.015</t>
  </si>
  <si>
    <t>A.   Determine Net Revenue Requirement less return and Income Taxes.</t>
  </si>
  <si>
    <t>&lt;==From Input on Worksheet A</t>
  </si>
  <si>
    <t>Current Projected Year ARR</t>
  </si>
  <si>
    <t>Current Projected Year ARR w/ Incentive</t>
  </si>
  <si>
    <t>Darlington Roman Nose 138 kv</t>
  </si>
  <si>
    <t>insert project name here</t>
  </si>
  <si>
    <t>Carnegie South-Southwestern 123 kv line rebuild</t>
  </si>
  <si>
    <t>Chisholm - Gracemont 345 kv line and station</t>
  </si>
  <si>
    <t>OKT.016</t>
  </si>
  <si>
    <t>OKT.017</t>
  </si>
  <si>
    <t>Paste in both column below - numbers and line descriptions</t>
  </si>
  <si>
    <t>Beg/Ending 
Average
Revenue</t>
  </si>
  <si>
    <t>Beg/Ending
Average
Revenue Req't.</t>
  </si>
  <si>
    <t xml:space="preserve">True Up Year Projected  (WS-F)  </t>
  </si>
  <si>
    <t xml:space="preserve">True-Up Year Actual (WS-G)  </t>
  </si>
  <si>
    <t xml:space="preserve">∑ True-Up Year Projected  (WS-F)  </t>
  </si>
  <si>
    <t xml:space="preserve">∑ True Up Year Actual  (WS-G)  </t>
  </si>
  <si>
    <t xml:space="preserve">       Taxable Percentage of Revenue (22%)</t>
  </si>
  <si>
    <t>Annual Depreciation Expense  (Historic TCOS, ln 259)</t>
  </si>
  <si>
    <t>Note 1:  Until OKLAHOMA TRANSMISSION COMPANY establishes Transmission plant in service the depreciation expense component of the carrying charge will be calculated as in the Operating Company formula approved in Docket No. ER07-1069.  The calculation for OKLAHOMA TRANSMISSION COMPANY is based on Plant Balances and Depreciation Expense for PSO and shown on lines 8 through 14 of Worksheet B.</t>
  </si>
  <si>
    <t>TP2009089</t>
  </si>
  <si>
    <t>TP 2015027</t>
  </si>
  <si>
    <t>TP 2014207</t>
  </si>
  <si>
    <t>TP 2011150</t>
  </si>
  <si>
    <t>Duncan-Comanche Tap 69 KV Rebuild</t>
  </si>
  <si>
    <t>OKT.018</t>
  </si>
  <si>
    <t>TP 2015191</t>
  </si>
  <si>
    <t>Note - This project was expected to be completed and then sold to WFEC during 2017, but will not be sold till late 2018.</t>
  </si>
  <si>
    <t>Projected Adjusted ARR from Prior Update</t>
  </si>
  <si>
    <t>TP2015204</t>
  </si>
  <si>
    <t>Fort Towson-Valliant 69 KV Line Rebuild</t>
  </si>
  <si>
    <t xml:space="preserve">   ROE w/o incentives  (TCOS, ln 143)</t>
  </si>
  <si>
    <t xml:space="preserve">   Rate Base  (TCOS, ln 63)</t>
  </si>
  <si>
    <t xml:space="preserve">   Tax Rate  (TCOS, ln 99)</t>
  </si>
  <si>
    <t xml:space="preserve">   ITC Adjustment  (TCOS, ln 108)</t>
  </si>
  <si>
    <t xml:space="preserve">   Excess DFIT Adjustment  (TCOS, ln 109)</t>
  </si>
  <si>
    <t xml:space="preserve">   Tax Effect of Permanent and Flow Through Differences (TCOS, ln 110)</t>
  </si>
  <si>
    <t xml:space="preserve">   Net Revenue Requirement  (TCOS, ln 117)</t>
  </si>
  <si>
    <t xml:space="preserve">   Return  (TCOS, ln 112)</t>
  </si>
  <si>
    <t xml:space="preserve">   Income Taxes  (TCOS, ln 111)</t>
  </si>
  <si>
    <t xml:space="preserve">  Gross Margin Taxes  (TCOS, ln 116)</t>
  </si>
  <si>
    <t xml:space="preserve">   Less: Depreciation  (TCOS, ln 86)</t>
  </si>
  <si>
    <t xml:space="preserve">   Net Transmission Plant  (TCOS, ln 37)</t>
  </si>
  <si>
    <t xml:space="preserve">   FCR less Depreciation  (TCOS, ln 10)</t>
  </si>
  <si>
    <t>Annual Depreciation Expense  (TCOS, ln 86)</t>
  </si>
  <si>
    <t>Transmission Plant Average Balance for 2018</t>
  </si>
  <si>
    <t>Projected Year</t>
  </si>
  <si>
    <t xml:space="preserve">   Tax Effect of Permanent and Flow Through Differences  (TCOS, ln 110)</t>
  </si>
  <si>
    <t>OKT.019</t>
  </si>
  <si>
    <t xml:space="preserve"> </t>
  </si>
  <si>
    <t>Keystone Dam - Wekiwa 138 kV</t>
  </si>
  <si>
    <t>TP2015118</t>
  </si>
  <si>
    <t>OKT.020</t>
  </si>
  <si>
    <t>Tulsa SE - S Hudson 138 kV</t>
  </si>
  <si>
    <t>TP2020033</t>
  </si>
  <si>
    <t xml:space="preserve">  SPP Project ID = 81520</t>
  </si>
  <si>
    <t>Pryor Junction 138/115 kV</t>
  </si>
  <si>
    <t>TP2019132</t>
  </si>
  <si>
    <t xml:space="preserve">  SPP Project ID = 81571</t>
  </si>
  <si>
    <t xml:space="preserve">  SPP Project ID = </t>
  </si>
  <si>
    <t>OKT.021</t>
  </si>
  <si>
    <t>OKT.022</t>
  </si>
  <si>
    <t>Transmission Plant Average Balance for 2022 (WS A-1 Ln 14 Col (d))</t>
  </si>
  <si>
    <t>2021 Formal Challenge Refund with Interest</t>
  </si>
  <si>
    <t xml:space="preserve">   Excess DFIT Adjustment  (TCOS, ln 110)</t>
  </si>
  <si>
    <t xml:space="preserve">   Tax Effect of Permanent and Flow Through Differences (TCOS, ln )</t>
  </si>
  <si>
    <t>OKT Project 21 of 23</t>
  </si>
  <si>
    <t>OKT Project 22 of 23</t>
  </si>
  <si>
    <t>OKT Project 23 of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</si>
</sst>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000"/>
    <numFmt numFmtId="168" formatCode="&quot;$&quot;#,##0.00"/>
    <numFmt numFmtId="169" formatCode="_(* #,##0_);_(* \(#,##0\);_(* &quot;-&quot;??_);_(@_)"/>
    <numFmt numFmtId="170" formatCode="_(&quot;$&quot;* #,##0_);_(&quot;$&quot;* \(#,##0\);_(&quot;$&quot;* &quot;-&quot;??_);_(@_)"/>
    <numFmt numFmtId="171" formatCode="_(* #,##0.0000_);_(* \(#,##0.0000\);_(* &quot;-&quot;????_);_(@_)"/>
    <numFmt numFmtId="172" formatCode="_(* #,##0.0000_);_(* \(#,##0.0000\);_(* &quot;-&quot;_);_(@_)"/>
    <numFmt numFmtId="173" formatCode="_(* #,##0.00000_);_(* \(#,##0.00000\);_(* &quot;-&quot;??_);_(@_)"/>
    <numFmt numFmtId="174" formatCode="#\ ??/12"/>
    <numFmt numFmtId="175" formatCode="&quot;$&quot;#,##0\ ;\(&quot;$&quot;#,##0\)"/>
    <numFmt numFmtId="176" formatCode="_(* #,##0.0,_);_(* \(#,##0.0,\);_(* &quot;-   &quot;_);_(@_)"/>
    <numFmt numFmtId="177" formatCode="_(* #,##0.000000_);_(* \(#,##0.000000\);_(* &quot;-&quot;??_);_(@_)"/>
    <numFmt numFmtId="178" formatCode="_(* #,##0.000000000_);_(* \(#,##0.000000000\);_(* &quot;-&quot;_);_(@_)"/>
    <numFmt numFmtId="179" formatCode="0.0000%"/>
  </numFmts>
  <fonts count="102">
    <font>
      <sz val="10"/>
      <name val="Arial"/>
    </font>
    <font>
      <sz val="10"/>
      <name val="Arial"/>
      <family val="2"/>
    </font>
    <font>
      <sz val="11"/>
      <color indexed="8"/>
      <name val="Arial Narrow"/>
      <family val="2"/>
    </font>
    <font>
      <sz val="11"/>
      <color indexed="9"/>
      <name val="Arial Narrow"/>
      <family val="2"/>
    </font>
    <font>
      <sz val="11"/>
      <color indexed="20"/>
      <name val="Arial Narrow"/>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8"/>
      <name val="Arial"/>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sz val="12"/>
      <name val="Arial MT"/>
    </font>
    <font>
      <b/>
      <sz val="11"/>
      <color indexed="63"/>
      <name val="Arial Narrow"/>
      <family val="2"/>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sz val="14"/>
      <name val="Arial"/>
      <family val="2"/>
    </font>
    <font>
      <b/>
      <sz val="14"/>
      <name val="MS Serif"/>
      <family val="1"/>
    </font>
    <font>
      <u/>
      <sz val="10"/>
      <name val="Arial"/>
      <family val="2"/>
    </font>
    <font>
      <sz val="10"/>
      <name val="MS Serif"/>
      <family val="1"/>
    </font>
    <font>
      <b/>
      <sz val="16"/>
      <name val="Arial"/>
      <family val="2"/>
    </font>
    <font>
      <sz val="12"/>
      <color indexed="12"/>
      <name val="Arial"/>
      <family val="2"/>
    </font>
    <font>
      <b/>
      <sz val="10"/>
      <color indexed="12"/>
      <name val="Arial"/>
      <family val="2"/>
    </font>
    <font>
      <b/>
      <sz val="10"/>
      <color indexed="10"/>
      <name val="Arial"/>
      <family val="2"/>
    </font>
    <font>
      <sz val="10"/>
      <color indexed="12"/>
      <name val="Arial"/>
      <family val="2"/>
    </font>
    <font>
      <sz val="10"/>
      <color indexed="10"/>
      <name val="Arial"/>
      <family val="2"/>
    </font>
    <font>
      <u val="singleAccounting"/>
      <sz val="10"/>
      <name val="Arial"/>
      <family val="2"/>
    </font>
    <font>
      <sz val="12"/>
      <color indexed="10"/>
      <name val="Arial"/>
      <family val="2"/>
    </font>
    <font>
      <b/>
      <sz val="10"/>
      <color indexed="8"/>
      <name val="Arial"/>
      <family val="2"/>
    </font>
    <font>
      <sz val="8"/>
      <color indexed="81"/>
      <name val="Tahoma"/>
      <family val="2"/>
    </font>
    <font>
      <b/>
      <sz val="8"/>
      <color indexed="81"/>
      <name val="Tahoma"/>
      <family val="2"/>
    </font>
    <font>
      <b/>
      <sz val="10"/>
      <color indexed="48"/>
      <name val="Arial"/>
      <family val="2"/>
    </font>
    <font>
      <sz val="8"/>
      <name val="Arial"/>
      <family val="2"/>
    </font>
    <font>
      <b/>
      <i/>
      <sz val="8"/>
      <color indexed="10"/>
      <name val="Arial"/>
      <family val="2"/>
    </font>
    <font>
      <sz val="10"/>
      <color indexed="12"/>
      <name val="Arial"/>
      <family val="2"/>
    </font>
    <font>
      <b/>
      <u/>
      <sz val="10"/>
      <name val="Arial"/>
      <family val="2"/>
    </font>
    <font>
      <b/>
      <sz val="10"/>
      <color indexed="57"/>
      <name val="Arial"/>
      <family val="2"/>
    </font>
    <font>
      <sz val="14"/>
      <color indexed="12"/>
      <name val="Arial"/>
      <family val="2"/>
    </font>
    <font>
      <sz val="10"/>
      <color indexed="9"/>
      <name val="Arial"/>
      <family val="2"/>
    </font>
    <font>
      <sz val="12"/>
      <name val="Arial"/>
      <family val="2"/>
    </font>
    <font>
      <b/>
      <sz val="12"/>
      <color indexed="12"/>
      <name val="Arial"/>
      <family val="2"/>
    </font>
    <font>
      <sz val="10"/>
      <color indexed="13"/>
      <name val="Arial"/>
      <family val="2"/>
    </font>
    <font>
      <sz val="10"/>
      <color indexed="10"/>
      <name val="Arial"/>
      <family val="2"/>
    </font>
    <font>
      <i/>
      <sz val="8"/>
      <color indexed="81"/>
      <name val="Tahoma"/>
      <family val="2"/>
    </font>
    <font>
      <sz val="8"/>
      <color indexed="10"/>
      <name val="Arial"/>
      <family val="2"/>
    </font>
    <font>
      <b/>
      <sz val="9"/>
      <color indexed="81"/>
      <name val="Tahoma"/>
      <family val="2"/>
    </font>
    <font>
      <sz val="9"/>
      <color indexed="81"/>
      <name val="Tahoma"/>
      <family val="2"/>
    </font>
    <font>
      <sz val="10"/>
      <name val="Arial"/>
      <family val="2"/>
    </font>
    <font>
      <sz val="10"/>
      <color indexed="30"/>
      <name val="Arial"/>
      <family val="2"/>
    </font>
    <font>
      <b/>
      <sz val="10"/>
      <color indexed="30"/>
      <name val="Arial"/>
      <family val="2"/>
    </font>
    <font>
      <sz val="10"/>
      <color indexed="12"/>
      <name val="Arial"/>
      <family val="2"/>
    </font>
    <font>
      <b/>
      <sz val="12"/>
      <color indexed="10"/>
      <name val="Arial"/>
      <family val="2"/>
    </font>
    <font>
      <sz val="12"/>
      <color indexed="10"/>
      <name val="Arial"/>
      <family val="2"/>
    </font>
    <font>
      <sz val="10"/>
      <name val="Arial"/>
      <family val="2"/>
    </font>
    <font>
      <sz val="10"/>
      <color indexed="22"/>
      <name val="Arial"/>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8"/>
      <color indexed="22"/>
      <name val="Arial"/>
      <family val="2"/>
    </font>
    <font>
      <b/>
      <sz val="12"/>
      <color indexed="22"/>
      <name val="Arial"/>
      <family val="2"/>
    </font>
    <font>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FFC000"/>
        <bgColor indexed="64"/>
      </patternFill>
    </fill>
  </fills>
  <borders count="5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264">
    <xf numFmtId="0" fontId="0" fillId="0" borderId="0"/>
    <xf numFmtId="0" fontId="2" fillId="2" borderId="0" applyNumberFormat="0" applyBorder="0" applyAlignment="0" applyProtection="0"/>
    <xf numFmtId="0" fontId="86" fillId="2" borderId="0" applyNumberFormat="0" applyBorder="0" applyAlignment="0" applyProtection="0"/>
    <xf numFmtId="0" fontId="2" fillId="3" borderId="0" applyNumberFormat="0" applyBorder="0" applyAlignment="0" applyProtection="0"/>
    <xf numFmtId="0" fontId="86" fillId="3" borderId="0" applyNumberFormat="0" applyBorder="0" applyAlignment="0" applyProtection="0"/>
    <xf numFmtId="0" fontId="2" fillId="4" borderId="0" applyNumberFormat="0" applyBorder="0" applyAlignment="0" applyProtection="0"/>
    <xf numFmtId="0" fontId="86" fillId="4"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6" borderId="0" applyNumberFormat="0" applyBorder="0" applyAlignment="0" applyProtection="0"/>
    <xf numFmtId="0" fontId="86" fillId="6" borderId="0" applyNumberFormat="0" applyBorder="0" applyAlignment="0" applyProtection="0"/>
    <xf numFmtId="0" fontId="2" fillId="7" borderId="0" applyNumberFormat="0" applyBorder="0" applyAlignment="0" applyProtection="0"/>
    <xf numFmtId="0" fontId="86" fillId="7"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9" borderId="0" applyNumberFormat="0" applyBorder="0" applyAlignment="0" applyProtection="0"/>
    <xf numFmtId="0" fontId="86" fillId="9" borderId="0" applyNumberFormat="0" applyBorder="0" applyAlignment="0" applyProtection="0"/>
    <xf numFmtId="0" fontId="2" fillId="10" borderId="0" applyNumberFormat="0" applyBorder="0" applyAlignment="0" applyProtection="0"/>
    <xf numFmtId="0" fontId="86" fillId="10" borderId="0" applyNumberFormat="0" applyBorder="0" applyAlignment="0" applyProtection="0"/>
    <xf numFmtId="0" fontId="2" fillId="5" borderId="0" applyNumberFormat="0" applyBorder="0" applyAlignment="0" applyProtection="0"/>
    <xf numFmtId="0" fontId="86" fillId="5" borderId="0" applyNumberFormat="0" applyBorder="0" applyAlignment="0" applyProtection="0"/>
    <xf numFmtId="0" fontId="2" fillId="8" borderId="0" applyNumberFormat="0" applyBorder="0" applyAlignment="0" applyProtection="0"/>
    <xf numFmtId="0" fontId="86" fillId="8" borderId="0" applyNumberFormat="0" applyBorder="0" applyAlignment="0" applyProtection="0"/>
    <xf numFmtId="0" fontId="2" fillId="11" borderId="0" applyNumberFormat="0" applyBorder="0" applyAlignment="0" applyProtection="0"/>
    <xf numFmtId="0" fontId="86" fillId="11" borderId="0" applyNumberFormat="0" applyBorder="0" applyAlignment="0" applyProtection="0"/>
    <xf numFmtId="0" fontId="3" fillId="12" borderId="0" applyNumberFormat="0" applyBorder="0" applyAlignment="0" applyProtection="0"/>
    <xf numFmtId="0" fontId="87" fillId="12" borderId="0" applyNumberFormat="0" applyBorder="0" applyAlignment="0" applyProtection="0"/>
    <xf numFmtId="0" fontId="3" fillId="9" borderId="0" applyNumberFormat="0" applyBorder="0" applyAlignment="0" applyProtection="0"/>
    <xf numFmtId="0" fontId="87" fillId="9" borderId="0" applyNumberFormat="0" applyBorder="0" applyAlignment="0" applyProtection="0"/>
    <xf numFmtId="0" fontId="3" fillId="10" borderId="0" applyNumberFormat="0" applyBorder="0" applyAlignment="0" applyProtection="0"/>
    <xf numFmtId="0" fontId="87" fillId="10"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5" borderId="0" applyNumberFormat="0" applyBorder="0" applyAlignment="0" applyProtection="0"/>
    <xf numFmtId="0" fontId="87" fillId="15" borderId="0" applyNumberFormat="0" applyBorder="0" applyAlignment="0" applyProtection="0"/>
    <xf numFmtId="0" fontId="3" fillId="16" borderId="0" applyNumberFormat="0" applyBorder="0" applyAlignment="0" applyProtection="0"/>
    <xf numFmtId="0" fontId="87" fillId="16" borderId="0" applyNumberFormat="0" applyBorder="0" applyAlignment="0" applyProtection="0"/>
    <xf numFmtId="0" fontId="3" fillId="17" borderId="0" applyNumberFormat="0" applyBorder="0" applyAlignment="0" applyProtection="0"/>
    <xf numFmtId="0" fontId="87" fillId="17" borderId="0" applyNumberFormat="0" applyBorder="0" applyAlignment="0" applyProtection="0"/>
    <xf numFmtId="0" fontId="3" fillId="18" borderId="0" applyNumberFormat="0" applyBorder="0" applyAlignment="0" applyProtection="0"/>
    <xf numFmtId="0" fontId="87" fillId="18" borderId="0" applyNumberFormat="0" applyBorder="0" applyAlignment="0" applyProtection="0"/>
    <xf numFmtId="0" fontId="3" fillId="13" borderId="0" applyNumberFormat="0" applyBorder="0" applyAlignment="0" applyProtection="0"/>
    <xf numFmtId="0" fontId="87" fillId="13" borderId="0" applyNumberFormat="0" applyBorder="0" applyAlignment="0" applyProtection="0"/>
    <xf numFmtId="0" fontId="3" fillId="14" borderId="0" applyNumberFormat="0" applyBorder="0" applyAlignment="0" applyProtection="0"/>
    <xf numFmtId="0" fontId="87" fillId="14" borderId="0" applyNumberFormat="0" applyBorder="0" applyAlignment="0" applyProtection="0"/>
    <xf numFmtId="0" fontId="3" fillId="19" borderId="0" applyNumberFormat="0" applyBorder="0" applyAlignment="0" applyProtection="0"/>
    <xf numFmtId="0" fontId="87" fillId="19" borderId="0" applyNumberFormat="0" applyBorder="0" applyAlignment="0" applyProtection="0"/>
    <xf numFmtId="0" fontId="4" fillId="3" borderId="0" applyNumberFormat="0" applyBorder="0" applyAlignment="0" applyProtection="0"/>
    <xf numFmtId="0" fontId="88" fillId="3" borderId="0" applyNumberFormat="0" applyBorder="0" applyAlignment="0" applyProtection="0"/>
    <xf numFmtId="168" fontId="5" fillId="0" borderId="0" applyFill="0"/>
    <xf numFmtId="168" fontId="5" fillId="0" borderId="0">
      <alignment horizontal="center"/>
    </xf>
    <xf numFmtId="0" fontId="5" fillId="0" borderId="0" applyFill="0">
      <alignment horizontal="center"/>
    </xf>
    <xf numFmtId="168" fontId="6" fillId="0" borderId="1" applyFill="0"/>
    <xf numFmtId="0" fontId="7" fillId="0" borderId="0" applyFont="0" applyAlignment="0"/>
    <xf numFmtId="0" fontId="8" fillId="0" borderId="0" applyFill="0">
      <alignment vertical="top"/>
    </xf>
    <xf numFmtId="0" fontId="6" fillId="0" borderId="0" applyFill="0">
      <alignment horizontal="left" vertical="top"/>
    </xf>
    <xf numFmtId="168" fontId="9" fillId="0" borderId="2" applyFill="0"/>
    <xf numFmtId="0" fontId="7" fillId="0" borderId="0" applyNumberFormat="0" applyFont="0" applyAlignment="0"/>
    <xf numFmtId="0" fontId="8" fillId="0" borderId="0" applyFill="0">
      <alignment wrapText="1"/>
    </xf>
    <xf numFmtId="0" fontId="6" fillId="0" borderId="0" applyFill="0">
      <alignment horizontal="left" vertical="top" wrapText="1"/>
    </xf>
    <xf numFmtId="168" fontId="10" fillId="0" borderId="0" applyFill="0"/>
    <xf numFmtId="0" fontId="11" fillId="0" borderId="0" applyNumberFormat="0" applyFont="0" applyAlignment="0">
      <alignment horizontal="center"/>
    </xf>
    <xf numFmtId="0" fontId="12" fillId="0" borderId="0" applyFill="0">
      <alignment vertical="top" wrapText="1"/>
    </xf>
    <xf numFmtId="0" fontId="9" fillId="0" borderId="0" applyFill="0">
      <alignment horizontal="left" vertical="top" wrapText="1"/>
    </xf>
    <xf numFmtId="168" fontId="7" fillId="0" borderId="0" applyFill="0"/>
    <xf numFmtId="0" fontId="11" fillId="0" borderId="0" applyNumberFormat="0" applyFont="0" applyAlignment="0">
      <alignment horizontal="center"/>
    </xf>
    <xf numFmtId="0" fontId="13" fillId="0" borderId="0" applyFill="0">
      <alignment vertical="center" wrapText="1"/>
    </xf>
    <xf numFmtId="0" fontId="14" fillId="0" borderId="0">
      <alignment horizontal="left" vertical="center" wrapText="1"/>
    </xf>
    <xf numFmtId="168" fontId="15" fillId="0" borderId="0" applyFill="0"/>
    <xf numFmtId="0" fontId="11" fillId="0" borderId="0" applyNumberFormat="0" applyFont="0" applyAlignment="0">
      <alignment horizontal="center"/>
    </xf>
    <xf numFmtId="0" fontId="16" fillId="0" borderId="0" applyFill="0">
      <alignment horizontal="center" vertical="center" wrapText="1"/>
    </xf>
    <xf numFmtId="0" fontId="7" fillId="0" borderId="0" applyFill="0">
      <alignment horizontal="center" vertical="center" wrapText="1"/>
    </xf>
    <xf numFmtId="168" fontId="17" fillId="0" borderId="0" applyFill="0"/>
    <xf numFmtId="0" fontId="11" fillId="0" borderId="0" applyNumberFormat="0" applyFont="0" applyAlignment="0">
      <alignment horizontal="center"/>
    </xf>
    <xf numFmtId="0" fontId="18" fillId="0" borderId="0" applyFill="0">
      <alignment horizontal="center" vertical="center" wrapText="1"/>
    </xf>
    <xf numFmtId="0" fontId="19" fillId="0" borderId="0" applyFill="0">
      <alignment horizontal="center" vertical="center" wrapText="1"/>
    </xf>
    <xf numFmtId="168" fontId="20" fillId="0" borderId="0" applyFill="0"/>
    <xf numFmtId="0" fontId="11" fillId="0" borderId="0" applyNumberFormat="0" applyFont="0" applyAlignment="0">
      <alignment horizontal="center"/>
    </xf>
    <xf numFmtId="0" fontId="21" fillId="0" borderId="0">
      <alignment horizontal="center" wrapText="1"/>
    </xf>
    <xf numFmtId="0" fontId="17" fillId="0" borderId="0" applyFill="0">
      <alignment horizontal="center" wrapText="1"/>
    </xf>
    <xf numFmtId="0" fontId="22" fillId="20" borderId="3" applyNumberFormat="0" applyAlignment="0" applyProtection="0"/>
    <xf numFmtId="0" fontId="89" fillId="20" borderId="3" applyNumberFormat="0" applyAlignment="0" applyProtection="0"/>
    <xf numFmtId="0" fontId="23" fillId="21" borderId="4" applyNumberFormat="0" applyAlignment="0" applyProtection="0"/>
    <xf numFmtId="0" fontId="90" fillId="21" borderId="4" applyNumberFormat="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3" fontId="7"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3" fontId="8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44" fontId="7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44" fontId="83"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75" fontId="84" fillId="0" borderId="0" applyFont="0" applyFill="0" applyBorder="0" applyAlignment="0" applyProtection="0"/>
    <xf numFmtId="14" fontId="7"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84" fillId="0" borderId="0" applyFont="0" applyFill="0" applyBorder="0" applyAlignment="0" applyProtection="0"/>
    <xf numFmtId="0" fontId="24" fillId="0" borderId="0" applyNumberFormat="0" applyFill="0" applyBorder="0" applyAlignment="0" applyProtection="0"/>
    <xf numFmtId="0" fontId="91" fillId="0" borderId="0" applyNumberFormat="0" applyFill="0" applyBorder="0" applyAlignment="0" applyProtection="0"/>
    <xf numFmtId="2" fontId="7"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2" fontId="84" fillId="0" borderId="0" applyFont="0" applyFill="0" applyBorder="0" applyAlignment="0" applyProtection="0"/>
    <xf numFmtId="0" fontId="25" fillId="4" borderId="0" applyNumberFormat="0" applyBorder="0" applyAlignment="0" applyProtection="0"/>
    <xf numFmtId="0" fontId="92" fillId="4" borderId="0" applyNumberFormat="0" applyBorder="0" applyAlignment="0" applyProtection="0"/>
    <xf numFmtId="0" fontId="26"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7" fillId="0" borderId="5" applyNumberFormat="0" applyFill="0" applyAlignment="0" applyProtection="0"/>
    <xf numFmtId="0" fontId="93" fillId="0" borderId="5" applyNumberFormat="0" applyFill="0" applyAlignment="0" applyProtection="0"/>
    <xf numFmtId="0" fontId="27" fillId="0" borderId="0" applyNumberFormat="0" applyFill="0" applyBorder="0" applyAlignment="0" applyProtection="0"/>
    <xf numFmtId="0" fontId="93" fillId="0" borderId="0" applyNumberFormat="0" applyFill="0" applyBorder="0" applyAlignment="0" applyProtection="0"/>
    <xf numFmtId="0" fontId="28" fillId="0" borderId="6"/>
    <xf numFmtId="0" fontId="29" fillId="0" borderId="0"/>
    <xf numFmtId="0" fontId="30" fillId="7" borderId="3" applyNumberFormat="0" applyAlignment="0" applyProtection="0"/>
    <xf numFmtId="0" fontId="94" fillId="7" borderId="3" applyNumberFormat="0" applyAlignment="0" applyProtection="0"/>
    <xf numFmtId="0" fontId="31" fillId="0" borderId="7" applyNumberFormat="0" applyFill="0" applyAlignment="0" applyProtection="0"/>
    <xf numFmtId="0" fontId="95" fillId="0" borderId="7" applyNumberFormat="0" applyFill="0" applyAlignment="0" applyProtection="0"/>
    <xf numFmtId="176" fontId="83"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176" fontId="7" fillId="0" borderId="0"/>
    <xf numFmtId="0" fontId="32" fillId="22" borderId="0" applyNumberFormat="0" applyBorder="0" applyAlignment="0" applyProtection="0"/>
    <xf numFmtId="0" fontId="96" fillId="22" borderId="0" applyNumberFormat="0" applyBorder="0" applyAlignment="0" applyProtection="0"/>
    <xf numFmtId="0" fontId="7" fillId="0" borderId="0"/>
    <xf numFmtId="0" fontId="7" fillId="0" borderId="0"/>
    <xf numFmtId="0" fontId="85" fillId="0" borderId="0"/>
    <xf numFmtId="0" fontId="7" fillId="0" borderId="0"/>
    <xf numFmtId="0" fontId="7" fillId="0" borderId="0"/>
    <xf numFmtId="0" fontId="85" fillId="0" borderId="0"/>
    <xf numFmtId="0" fontId="7" fillId="0" borderId="0"/>
    <xf numFmtId="0" fontId="1" fillId="0" borderId="0"/>
    <xf numFmtId="0" fontId="7" fillId="0" borderId="0"/>
    <xf numFmtId="0" fontId="77" fillId="0" borderId="0"/>
    <xf numFmtId="0" fontId="7" fillId="0" borderId="0"/>
    <xf numFmtId="0" fontId="83" fillId="0" borderId="0"/>
    <xf numFmtId="0" fontId="83" fillId="0" borderId="0"/>
    <xf numFmtId="0" fontId="83" fillId="0" borderId="0"/>
    <xf numFmtId="0" fontId="85" fillId="0" borderId="0"/>
    <xf numFmtId="0" fontId="7" fillId="0" borderId="0"/>
    <xf numFmtId="0" fontId="7" fillId="0" borderId="0"/>
    <xf numFmtId="168" fontId="33" fillId="0" borderId="0" applyProtection="0"/>
    <xf numFmtId="0" fontId="33" fillId="23" borderId="8" applyNumberFormat="0" applyFont="0" applyAlignment="0" applyProtection="0"/>
    <xf numFmtId="0" fontId="7" fillId="23" borderId="8" applyNumberFormat="0" applyFont="0" applyAlignment="0" applyProtection="0"/>
    <xf numFmtId="0" fontId="34" fillId="20" borderId="9" applyNumberFormat="0" applyAlignment="0" applyProtection="0"/>
    <xf numFmtId="0" fontId="97" fillId="20" borderId="9"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7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5" fontId="35" fillId="0" borderId="0" applyFont="0" applyFill="0" applyBorder="0" applyAlignment="0" applyProtection="0"/>
    <xf numFmtId="4" fontId="35" fillId="0" borderId="0" applyFont="0" applyFill="0" applyBorder="0" applyAlignment="0" applyProtection="0"/>
    <xf numFmtId="3" fontId="7" fillId="0" borderId="0">
      <alignment horizontal="left" vertical="top"/>
    </xf>
    <xf numFmtId="0" fontId="36" fillId="0" borderId="6">
      <alignment horizontal="center"/>
    </xf>
    <xf numFmtId="3" fontId="35" fillId="0" borderId="0" applyFont="0" applyFill="0" applyBorder="0" applyAlignment="0" applyProtection="0"/>
    <xf numFmtId="0" fontId="35" fillId="24" borderId="0" applyNumberFormat="0" applyFont="0" applyBorder="0" applyAlignment="0" applyProtection="0"/>
    <xf numFmtId="3" fontId="7" fillId="0" borderId="0">
      <alignment horizontal="right" vertical="top"/>
    </xf>
    <xf numFmtId="41" fontId="14" fillId="25" borderId="10" applyFill="0"/>
    <xf numFmtId="0" fontId="37" fillId="0" borderId="0">
      <alignment horizontal="left" indent="7"/>
    </xf>
    <xf numFmtId="41" fontId="14" fillId="0" borderId="10" applyFill="0">
      <alignment horizontal="left" indent="2"/>
    </xf>
    <xf numFmtId="168" fontId="38" fillId="0" borderId="11" applyFill="0">
      <alignment horizontal="right"/>
    </xf>
    <xf numFmtId="0" fontId="39" fillId="0" borderId="12" applyNumberFormat="0" applyFont="0" applyBorder="0">
      <alignment horizontal="right"/>
    </xf>
    <xf numFmtId="0" fontId="40" fillId="0" borderId="0" applyFill="0"/>
    <xf numFmtId="0" fontId="9" fillId="0" borderId="0" applyFill="0"/>
    <xf numFmtId="4" fontId="38" fillId="0" borderId="11" applyFill="0"/>
    <xf numFmtId="0" fontId="7" fillId="0" borderId="0" applyNumberFormat="0" applyFont="0" applyBorder="0" applyAlignment="0"/>
    <xf numFmtId="0" fontId="12" fillId="0" borderId="0" applyFill="0">
      <alignment horizontal="left" indent="1"/>
    </xf>
    <xf numFmtId="0" fontId="41" fillId="0" borderId="0" applyFill="0">
      <alignment horizontal="left" indent="1"/>
    </xf>
    <xf numFmtId="4" fontId="15" fillId="0" borderId="0" applyFill="0"/>
    <xf numFmtId="0" fontId="7" fillId="0" borderId="0" applyNumberFormat="0" applyFont="0" applyFill="0" applyBorder="0" applyAlignment="0"/>
    <xf numFmtId="0" fontId="12" fillId="0" borderId="0" applyFill="0">
      <alignment horizontal="left" indent="2"/>
    </xf>
    <xf numFmtId="0" fontId="9" fillId="0" borderId="0" applyFill="0">
      <alignment horizontal="left" indent="2"/>
    </xf>
    <xf numFmtId="4" fontId="15" fillId="0" borderId="0" applyFill="0"/>
    <xf numFmtId="0" fontId="7" fillId="0" borderId="0" applyNumberFormat="0" applyFont="0" applyBorder="0" applyAlignment="0"/>
    <xf numFmtId="0" fontId="42" fillId="0" borderId="0">
      <alignment horizontal="left" indent="3"/>
    </xf>
    <xf numFmtId="0" fontId="43" fillId="0" borderId="0" applyFill="0">
      <alignment horizontal="left" indent="3"/>
    </xf>
    <xf numFmtId="4" fontId="15" fillId="0" borderId="0" applyFill="0"/>
    <xf numFmtId="0" fontId="7" fillId="0" borderId="0" applyNumberFormat="0" applyFont="0" applyBorder="0" applyAlignment="0"/>
    <xf numFmtId="0" fontId="16" fillId="0" borderId="0">
      <alignment horizontal="left" indent="4"/>
    </xf>
    <xf numFmtId="0" fontId="7" fillId="0" borderId="0" applyFill="0">
      <alignment horizontal="left" indent="4"/>
    </xf>
    <xf numFmtId="4" fontId="17" fillId="0" borderId="0" applyFill="0"/>
    <xf numFmtId="0" fontId="7" fillId="0" borderId="0" applyNumberFormat="0" applyFont="0" applyBorder="0" applyAlignment="0"/>
    <xf numFmtId="0" fontId="18" fillId="0" borderId="0">
      <alignment horizontal="left" indent="5"/>
    </xf>
    <xf numFmtId="0" fontId="19" fillId="0" borderId="0" applyFill="0">
      <alignment horizontal="left" indent="5"/>
    </xf>
    <xf numFmtId="4" fontId="20" fillId="0" borderId="0" applyFill="0"/>
    <xf numFmtId="0" fontId="7" fillId="0" borderId="0" applyNumberFormat="0" applyFont="0" applyFill="0" applyBorder="0" applyAlignment="0"/>
    <xf numFmtId="0" fontId="21" fillId="0" borderId="0" applyFill="0">
      <alignment horizontal="left" indent="6"/>
    </xf>
    <xf numFmtId="0" fontId="17" fillId="0" borderId="0" applyFill="0">
      <alignment horizontal="left" indent="6"/>
    </xf>
    <xf numFmtId="0" fontId="44" fillId="0" borderId="0" applyNumberFormat="0" applyFill="0" applyBorder="0" applyAlignment="0" applyProtection="0"/>
    <xf numFmtId="0" fontId="44" fillId="0" borderId="0" applyNumberFormat="0" applyFill="0" applyBorder="0" applyAlignment="0" applyProtection="0"/>
    <xf numFmtId="0" fontId="7" fillId="0" borderId="0" applyFont="0" applyFill="0" applyBorder="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84" fillId="0" borderId="1" applyNumberFormat="0" applyFont="0" applyFill="0" applyAlignment="0" applyProtection="0"/>
    <xf numFmtId="0" fontId="45" fillId="0" borderId="0" applyNumberFormat="0" applyFill="0" applyBorder="0" applyAlignment="0" applyProtection="0"/>
    <xf numFmtId="0" fontId="98" fillId="0" borderId="0" applyNumberFormat="0" applyFill="0" applyBorder="0" applyAlignment="0" applyProtection="0"/>
    <xf numFmtId="43" fontId="1" fillId="0" borderId="0" applyFont="0" applyFill="0" applyBorder="0" applyAlignment="0" applyProtection="0"/>
  </cellStyleXfs>
  <cellXfs count="744">
    <xf numFmtId="0" fontId="0" fillId="0" borderId="0" xfId="0"/>
    <xf numFmtId="0" fontId="7" fillId="0" borderId="0" xfId="0" applyFont="1"/>
    <xf numFmtId="0" fontId="7" fillId="0" borderId="0" xfId="0" applyFont="1" applyAlignment="1">
      <alignment horizontal="center"/>
    </xf>
    <xf numFmtId="169" fontId="7" fillId="0" borderId="0" xfId="86" applyNumberFormat="1" applyFont="1"/>
    <xf numFmtId="0" fontId="7" fillId="0" borderId="0" xfId="0" applyFont="1" applyBorder="1"/>
    <xf numFmtId="0" fontId="47" fillId="0" borderId="0" xfId="0" applyFont="1" applyFill="1"/>
    <xf numFmtId="0" fontId="0" fillId="0" borderId="0" xfId="0" applyAlignment="1">
      <alignment wrapText="1"/>
    </xf>
    <xf numFmtId="0" fontId="0" fillId="0" borderId="0" xfId="0" applyBorder="1"/>
    <xf numFmtId="0" fontId="9" fillId="0" borderId="0" xfId="0" applyFont="1" applyAlignment="1">
      <alignment horizontal="left"/>
    </xf>
    <xf numFmtId="0" fontId="7" fillId="0" borderId="0" xfId="0" applyFont="1" applyFill="1" applyBorder="1"/>
    <xf numFmtId="10" fontId="7" fillId="0" borderId="0" xfId="0" applyNumberFormat="1" applyFont="1" applyBorder="1"/>
    <xf numFmtId="0" fontId="7" fillId="0" borderId="0" xfId="0" applyFont="1" applyFill="1" applyBorder="1" applyAlignment="1"/>
    <xf numFmtId="0" fontId="14" fillId="0" borderId="0" xfId="191" applyNumberFormat="1" applyFont="1" applyFill="1" applyBorder="1" applyAlignment="1" applyProtection="1">
      <protection locked="0"/>
    </xf>
    <xf numFmtId="0" fontId="6" fillId="0" borderId="0" xfId="0" applyFont="1" applyFill="1"/>
    <xf numFmtId="10" fontId="7" fillId="0" borderId="0" xfId="0" applyNumberFormat="1" applyFont="1"/>
    <xf numFmtId="0" fontId="7" fillId="0" borderId="0" xfId="0" applyFont="1" applyFill="1" applyBorder="1" applyAlignment="1">
      <alignment wrapText="1"/>
    </xf>
    <xf numFmtId="0" fontId="0" fillId="0" borderId="0" xfId="0" applyFill="1"/>
    <xf numFmtId="169" fontId="7" fillId="0" borderId="0" xfId="0" applyNumberFormat="1" applyFont="1"/>
    <xf numFmtId="0" fontId="46" fillId="0" borderId="0" xfId="0" applyFont="1" applyAlignment="1">
      <alignment horizontal="right"/>
    </xf>
    <xf numFmtId="169" fontId="7" fillId="0" borderId="0" xfId="86" applyNumberFormat="1" applyFont="1" applyBorder="1"/>
    <xf numFmtId="0" fontId="39" fillId="0" borderId="0" xfId="0" applyFont="1" applyAlignment="1">
      <alignment horizontal="left"/>
    </xf>
    <xf numFmtId="0" fontId="51" fillId="26" borderId="0" xfId="86" applyNumberFormat="1" applyFont="1" applyFill="1" applyAlignment="1">
      <alignment horizontal="left"/>
    </xf>
    <xf numFmtId="0" fontId="39" fillId="0" borderId="17" xfId="0" applyFont="1" applyBorder="1"/>
    <xf numFmtId="0" fontId="39" fillId="0" borderId="18" xfId="0" applyFont="1" applyBorder="1"/>
    <xf numFmtId="0" fontId="7" fillId="0" borderId="18" xfId="0" applyFont="1" applyBorder="1"/>
    <xf numFmtId="169" fontId="39" fillId="0" borderId="19" xfId="86" applyNumberFormat="1" applyFont="1" applyBorder="1"/>
    <xf numFmtId="0" fontId="14" fillId="0" borderId="0" xfId="86" applyNumberFormat="1" applyFont="1" applyFill="1" applyAlignment="1">
      <alignment horizontal="left"/>
    </xf>
    <xf numFmtId="0" fontId="14" fillId="0" borderId="0" xfId="86" applyNumberFormat="1" applyFont="1" applyFill="1" applyBorder="1" applyAlignment="1">
      <alignment horizontal="left"/>
    </xf>
    <xf numFmtId="0" fontId="39" fillId="0" borderId="13" xfId="0" applyFont="1" applyBorder="1"/>
    <xf numFmtId="0" fontId="9" fillId="0" borderId="0" xfId="86" applyNumberFormat="1" applyFont="1" applyFill="1" applyBorder="1" applyAlignment="1">
      <alignment horizontal="left"/>
    </xf>
    <xf numFmtId="169" fontId="39" fillId="0" borderId="20" xfId="86" applyNumberFormat="1" applyFont="1" applyBorder="1"/>
    <xf numFmtId="0" fontId="39" fillId="0" borderId="0" xfId="0" applyFont="1" applyFill="1"/>
    <xf numFmtId="169" fontId="39" fillId="0" borderId="15" xfId="86" applyNumberFormat="1" applyFont="1" applyBorder="1"/>
    <xf numFmtId="169" fontId="7" fillId="0" borderId="6" xfId="86" applyNumberFormat="1" applyFont="1" applyBorder="1"/>
    <xf numFmtId="169" fontId="7" fillId="0" borderId="16" xfId="86" applyNumberFormat="1" applyFont="1" applyBorder="1"/>
    <xf numFmtId="0" fontId="53" fillId="0" borderId="0" xfId="0" applyFont="1" applyFill="1" applyAlignment="1"/>
    <xf numFmtId="0" fontId="7" fillId="0" borderId="0" xfId="0" applyFont="1" applyFill="1" applyAlignment="1">
      <alignment wrapText="1"/>
    </xf>
    <xf numFmtId="0" fontId="39" fillId="0" borderId="21" xfId="0" applyFont="1" applyFill="1" applyBorder="1" applyAlignment="1">
      <alignment horizontal="center"/>
    </xf>
    <xf numFmtId="0" fontId="39" fillId="0" borderId="22" xfId="0" applyFont="1" applyFill="1" applyBorder="1" applyAlignment="1">
      <alignment horizontal="center"/>
    </xf>
    <xf numFmtId="0" fontId="39" fillId="0" borderId="23" xfId="0" applyFont="1" applyFill="1" applyBorder="1" applyAlignment="1">
      <alignment horizontal="center"/>
    </xf>
    <xf numFmtId="0" fontId="39" fillId="0" borderId="0" xfId="0" applyFont="1" applyFill="1" applyBorder="1" applyAlignment="1">
      <alignment horizontal="center"/>
    </xf>
    <xf numFmtId="0" fontId="0" fillId="0" borderId="0" xfId="0" applyBorder="1" applyAlignment="1"/>
    <xf numFmtId="0" fontId="7" fillId="0" borderId="13" xfId="0" applyFont="1" applyFill="1" applyBorder="1" applyAlignment="1"/>
    <xf numFmtId="169" fontId="54" fillId="26" borderId="14" xfId="86" applyNumberFormat="1" applyFont="1" applyFill="1" applyBorder="1" applyAlignment="1">
      <alignment horizontal="right"/>
    </xf>
    <xf numFmtId="0" fontId="7" fillId="0" borderId="0" xfId="0" applyFont="1" applyBorder="1" applyAlignment="1">
      <alignment horizontal="center"/>
    </xf>
    <xf numFmtId="0" fontId="39" fillId="0" borderId="19" xfId="0" applyFont="1" applyFill="1" applyBorder="1" applyAlignment="1">
      <alignment horizontal="center"/>
    </xf>
    <xf numFmtId="0" fontId="7" fillId="0" borderId="13" xfId="0" applyFont="1" applyFill="1" applyBorder="1"/>
    <xf numFmtId="0" fontId="54" fillId="26" borderId="14" xfId="0" applyFont="1" applyFill="1" applyBorder="1" applyAlignment="1">
      <alignment horizontal="right"/>
    </xf>
    <xf numFmtId="169" fontId="7" fillId="0" borderId="14" xfId="0" applyNumberFormat="1" applyFont="1" applyFill="1" applyBorder="1" applyAlignment="1">
      <alignment horizontal="right"/>
    </xf>
    <xf numFmtId="169" fontId="7" fillId="0" borderId="0" xfId="0" applyNumberFormat="1" applyFont="1" applyFill="1" applyBorder="1" applyAlignment="1">
      <alignment horizontal="right"/>
    </xf>
    <xf numFmtId="10" fontId="7" fillId="0" borderId="14" xfId="0" applyNumberFormat="1" applyFont="1" applyBorder="1"/>
    <xf numFmtId="10" fontId="7" fillId="0" borderId="0" xfId="0" applyNumberFormat="1" applyFont="1" applyFill="1" applyBorder="1"/>
    <xf numFmtId="169" fontId="7" fillId="0" borderId="14" xfId="86" applyNumberFormat="1" applyFont="1" applyBorder="1"/>
    <xf numFmtId="0" fontId="39" fillId="0" borderId="24" xfId="0" applyFont="1" applyBorder="1" applyAlignment="1">
      <alignment horizontal="center"/>
    </xf>
    <xf numFmtId="169" fontId="39" fillId="0" borderId="24" xfId="86" applyNumberFormat="1" applyFont="1" applyBorder="1" applyAlignment="1">
      <alignment horizontal="center"/>
    </xf>
    <xf numFmtId="0" fontId="39" fillId="0" borderId="25" xfId="0" applyFont="1" applyBorder="1" applyAlignment="1">
      <alignment horizontal="center"/>
    </xf>
    <xf numFmtId="169" fontId="39" fillId="0" borderId="24" xfId="86" applyNumberFormat="1" applyFont="1" applyBorder="1" applyAlignment="1">
      <alignment horizontal="center" wrapText="1"/>
    </xf>
    <xf numFmtId="0" fontId="39" fillId="0" borderId="26" xfId="0" applyFont="1" applyBorder="1" applyAlignment="1">
      <alignment horizontal="center"/>
    </xf>
    <xf numFmtId="169" fontId="39" fillId="0" borderId="16" xfId="86" applyNumberFormat="1" applyFont="1" applyBorder="1" applyAlignment="1">
      <alignment horizontal="center"/>
    </xf>
    <xf numFmtId="0" fontId="39" fillId="0" borderId="26" xfId="0" applyFont="1" applyFill="1" applyBorder="1" applyAlignment="1">
      <alignment horizontal="center"/>
    </xf>
    <xf numFmtId="0" fontId="39" fillId="0" borderId="25" xfId="0" applyFont="1" applyFill="1" applyBorder="1" applyAlignment="1">
      <alignment horizontal="center"/>
    </xf>
    <xf numFmtId="169" fontId="39" fillId="0" borderId="26" xfId="86" applyNumberFormat="1" applyFont="1" applyBorder="1" applyAlignment="1">
      <alignment horizontal="center"/>
    </xf>
    <xf numFmtId="0" fontId="7" fillId="0" borderId="25" xfId="0" applyNumberFormat="1" applyFont="1" applyBorder="1" applyAlignment="1">
      <alignment horizontal="center"/>
    </xf>
    <xf numFmtId="169" fontId="7" fillId="0" borderId="0" xfId="0" applyNumberFormat="1" applyFont="1" applyBorder="1"/>
    <xf numFmtId="169" fontId="7" fillId="0" borderId="24" xfId="86" applyNumberFormat="1" applyFont="1" applyBorder="1"/>
    <xf numFmtId="170" fontId="7" fillId="0" borderId="14" xfId="0" applyNumberFormat="1" applyFont="1" applyBorder="1"/>
    <xf numFmtId="170" fontId="7" fillId="0" borderId="24" xfId="0" applyNumberFormat="1" applyFont="1" applyBorder="1"/>
    <xf numFmtId="170" fontId="7" fillId="0" borderId="25" xfId="0" applyNumberFormat="1" applyFont="1" applyBorder="1"/>
    <xf numFmtId="169" fontId="7" fillId="0" borderId="25" xfId="0" applyNumberFormat="1" applyFont="1" applyBorder="1"/>
    <xf numFmtId="169" fontId="1" fillId="0" borderId="25" xfId="86" applyNumberFormat="1" applyBorder="1"/>
    <xf numFmtId="169" fontId="7" fillId="0" borderId="25" xfId="86" applyNumberFormat="1" applyFont="1" applyBorder="1"/>
    <xf numFmtId="169" fontId="7" fillId="0" borderId="25" xfId="0" applyNumberFormat="1" applyFont="1" applyFill="1" applyBorder="1"/>
    <xf numFmtId="169" fontId="7" fillId="0" borderId="25" xfId="86" applyNumberFormat="1" applyFont="1" applyFill="1" applyBorder="1"/>
    <xf numFmtId="0" fontId="7" fillId="0" borderId="26" xfId="0" applyNumberFormat="1" applyFont="1" applyBorder="1" applyAlignment="1">
      <alignment horizontal="center"/>
    </xf>
    <xf numFmtId="169" fontId="7" fillId="0" borderId="26" xfId="0" applyNumberFormat="1" applyFont="1" applyBorder="1"/>
    <xf numFmtId="169" fontId="1" fillId="0" borderId="26" xfId="86" applyNumberFormat="1" applyBorder="1"/>
    <xf numFmtId="169" fontId="7" fillId="0" borderId="26" xfId="86" applyNumberFormat="1" applyFont="1" applyFill="1" applyBorder="1"/>
    <xf numFmtId="170" fontId="7" fillId="0" borderId="16" xfId="0" applyNumberFormat="1" applyFont="1" applyBorder="1"/>
    <xf numFmtId="170" fontId="7" fillId="0" borderId="26" xfId="0" applyNumberFormat="1" applyFont="1" applyBorder="1"/>
    <xf numFmtId="0" fontId="53" fillId="0" borderId="0" xfId="0" applyFont="1" applyFill="1"/>
    <xf numFmtId="170" fontId="7" fillId="0" borderId="0" xfId="0" applyNumberFormat="1" applyFont="1" applyBorder="1"/>
    <xf numFmtId="169" fontId="55" fillId="0" borderId="0" xfId="0" applyNumberFormat="1" applyFont="1" applyAlignment="1">
      <alignment horizontal="left"/>
    </xf>
    <xf numFmtId="0" fontId="9" fillId="0" borderId="0" xfId="0" applyFont="1" applyFill="1"/>
    <xf numFmtId="169" fontId="39" fillId="0" borderId="0" xfId="86" applyNumberFormat="1" applyFont="1" applyBorder="1"/>
    <xf numFmtId="169" fontId="7" fillId="0" borderId="14" xfId="0" applyNumberFormat="1" applyFont="1" applyBorder="1"/>
    <xf numFmtId="169" fontId="39" fillId="0" borderId="11" xfId="86" applyNumberFormat="1" applyFont="1" applyBorder="1"/>
    <xf numFmtId="169" fontId="7" fillId="0" borderId="20" xfId="0" applyNumberFormat="1" applyFont="1" applyBorder="1"/>
    <xf numFmtId="0" fontId="7" fillId="0" borderId="15" xfId="0" applyFont="1" applyBorder="1"/>
    <xf numFmtId="169" fontId="39" fillId="0" borderId="6" xfId="86" applyNumberFormat="1" applyFont="1" applyFill="1" applyBorder="1" applyAlignment="1">
      <alignment horizontal="left"/>
    </xf>
    <xf numFmtId="169" fontId="39" fillId="0" borderId="16" xfId="86" applyNumberFormat="1" applyFont="1" applyFill="1" applyBorder="1" applyAlignment="1">
      <alignment horizontal="left"/>
    </xf>
    <xf numFmtId="0" fontId="7" fillId="0" borderId="21" xfId="0" applyFont="1" applyFill="1" applyBorder="1" applyAlignment="1">
      <alignment horizontal="center"/>
    </xf>
    <xf numFmtId="0" fontId="0" fillId="0" borderId="22" xfId="0" applyBorder="1" applyAlignment="1"/>
    <xf numFmtId="0" fontId="0" fillId="0" borderId="0" xfId="0" applyFill="1" applyBorder="1" applyAlignment="1"/>
    <xf numFmtId="0" fontId="7" fillId="0" borderId="6" xfId="0" applyFont="1" applyBorder="1" applyAlignment="1">
      <alignment horizontal="center"/>
    </xf>
    <xf numFmtId="0" fontId="0" fillId="0" borderId="6" xfId="0" applyBorder="1"/>
    <xf numFmtId="0" fontId="39" fillId="0" borderId="24" xfId="0" applyFont="1" applyBorder="1" applyAlignment="1">
      <alignment horizontal="center" wrapText="1"/>
    </xf>
    <xf numFmtId="0" fontId="39" fillId="0" borderId="25" xfId="0" applyFont="1" applyBorder="1" applyAlignment="1">
      <alignment horizontal="center" wrapText="1"/>
    </xf>
    <xf numFmtId="0" fontId="39" fillId="0" borderId="6" xfId="0" applyFont="1" applyBorder="1" applyAlignment="1">
      <alignment horizontal="center"/>
    </xf>
    <xf numFmtId="169" fontId="7" fillId="0" borderId="24" xfId="0" applyNumberFormat="1" applyFont="1" applyBorder="1"/>
    <xf numFmtId="169" fontId="7" fillId="0" borderId="6" xfId="0" applyNumberFormat="1" applyFont="1" applyBorder="1"/>
    <xf numFmtId="0" fontId="55" fillId="0" borderId="0" xfId="0" applyFont="1"/>
    <xf numFmtId="0" fontId="58" fillId="0" borderId="0" xfId="0" applyFont="1" applyFill="1"/>
    <xf numFmtId="0" fontId="7" fillId="0" borderId="14" xfId="0" applyFont="1" applyFill="1" applyBorder="1" applyAlignment="1">
      <alignment horizontal="right"/>
    </xf>
    <xf numFmtId="0" fontId="7" fillId="0" borderId="16" xfId="0" applyFont="1" applyFill="1" applyBorder="1" applyAlignment="1">
      <alignment horizontal="right"/>
    </xf>
    <xf numFmtId="0" fontId="52" fillId="26" borderId="0" xfId="0" applyFont="1" applyFill="1" applyAlignment="1">
      <alignment horizontal="left"/>
    </xf>
    <xf numFmtId="0" fontId="39" fillId="0" borderId="22" xfId="0" applyFont="1" applyFill="1" applyBorder="1" applyAlignment="1"/>
    <xf numFmtId="0" fontId="61" fillId="27" borderId="22" xfId="0" applyFont="1" applyFill="1" applyBorder="1" applyAlignment="1">
      <alignment horizontal="center"/>
    </xf>
    <xf numFmtId="0" fontId="39" fillId="0" borderId="0" xfId="0" quotePrefix="1" applyFont="1" applyAlignment="1">
      <alignment horizontal="left"/>
    </xf>
    <xf numFmtId="0" fontId="68" fillId="0" borderId="0" xfId="0" applyFont="1"/>
    <xf numFmtId="0" fontId="7" fillId="0" borderId="0" xfId="0" applyFont="1" applyAlignment="1">
      <alignment horizontal="left"/>
    </xf>
    <xf numFmtId="0" fontId="50" fillId="0" borderId="0" xfId="0" quotePrefix="1" applyFont="1" applyAlignment="1">
      <alignment horizontal="left"/>
    </xf>
    <xf numFmtId="0" fontId="46" fillId="0" borderId="0" xfId="0" quotePrefix="1" applyFont="1" applyAlignment="1">
      <alignment horizontal="center"/>
    </xf>
    <xf numFmtId="170" fontId="46" fillId="0" borderId="0" xfId="0" quotePrefix="1" applyNumberFormat="1" applyFont="1" applyBorder="1" applyAlignment="1">
      <alignment horizontal="center"/>
    </xf>
    <xf numFmtId="0" fontId="52" fillId="0" borderId="0" xfId="0" applyFont="1" applyAlignment="1">
      <alignment horizontal="left"/>
    </xf>
    <xf numFmtId="0" fontId="55" fillId="0" borderId="0" xfId="0" applyFont="1" applyFill="1" applyAlignment="1"/>
    <xf numFmtId="0" fontId="55" fillId="0" borderId="0" xfId="0" quotePrefix="1" applyFont="1" applyAlignment="1">
      <alignment horizontal="left"/>
    </xf>
    <xf numFmtId="0" fontId="67" fillId="0" borderId="0" xfId="0" applyFont="1" applyFill="1" applyAlignment="1">
      <alignment horizontal="right"/>
    </xf>
    <xf numFmtId="0" fontId="46" fillId="0" borderId="0" xfId="0" quotePrefix="1" applyFont="1" applyAlignment="1">
      <alignment horizontal="right"/>
    </xf>
    <xf numFmtId="0" fontId="39" fillId="0" borderId="28" xfId="0" applyFont="1" applyFill="1" applyBorder="1" applyAlignment="1">
      <alignment horizontal="center"/>
    </xf>
    <xf numFmtId="168" fontId="7" fillId="0" borderId="29" xfId="191" applyFont="1" applyBorder="1" applyAlignment="1" applyProtection="1">
      <alignment horizontal="center"/>
      <protection locked="0"/>
    </xf>
    <xf numFmtId="168" fontId="7" fillId="0" borderId="29" xfId="191" quotePrefix="1" applyFont="1" applyBorder="1" applyAlignment="1" applyProtection="1">
      <alignment horizontal="center"/>
      <protection locked="0"/>
    </xf>
    <xf numFmtId="3" fontId="7" fillId="0" borderId="30" xfId="191" applyNumberFormat="1" applyFont="1" applyBorder="1" applyAlignment="1" applyProtection="1">
      <alignment horizontal="center"/>
      <protection locked="0"/>
    </xf>
    <xf numFmtId="0" fontId="55" fillId="0" borderId="24" xfId="0" applyFont="1" applyBorder="1"/>
    <xf numFmtId="169" fontId="7" fillId="0" borderId="13" xfId="86" quotePrefix="1" applyNumberFormat="1" applyFont="1" applyBorder="1" applyAlignment="1">
      <alignment horizontal="right"/>
    </xf>
    <xf numFmtId="0" fontId="57" fillId="0" borderId="31" xfId="86" applyNumberFormat="1" applyFont="1" applyFill="1" applyBorder="1" applyAlignment="1">
      <alignment horizontal="left"/>
    </xf>
    <xf numFmtId="169" fontId="7" fillId="0" borderId="32" xfId="86" quotePrefix="1" applyNumberFormat="1" applyFont="1" applyBorder="1" applyAlignment="1">
      <alignment horizontal="right"/>
    </xf>
    <xf numFmtId="169" fontId="55" fillId="0" borderId="26" xfId="86" applyNumberFormat="1" applyFont="1" applyBorder="1"/>
    <xf numFmtId="0" fontId="7" fillId="0" borderId="15" xfId="0" quotePrefix="1" applyFont="1" applyBorder="1" applyAlignment="1">
      <alignment horizontal="right"/>
    </xf>
    <xf numFmtId="169" fontId="54" fillId="0" borderId="25" xfId="86" applyNumberFormat="1" applyFont="1" applyFill="1" applyBorder="1"/>
    <xf numFmtId="170" fontId="54" fillId="26" borderId="24" xfId="0" applyNumberFormat="1" applyFont="1" applyFill="1" applyBorder="1"/>
    <xf numFmtId="170" fontId="54" fillId="26" borderId="25" xfId="0" applyNumberFormat="1" applyFont="1" applyFill="1" applyBorder="1"/>
    <xf numFmtId="170" fontId="54" fillId="26" borderId="26" xfId="0" applyNumberFormat="1" applyFont="1" applyFill="1" applyBorder="1"/>
    <xf numFmtId="170" fontId="54" fillId="0" borderId="24" xfId="0" applyNumberFormat="1" applyFont="1" applyFill="1" applyBorder="1"/>
    <xf numFmtId="169" fontId="39" fillId="0" borderId="24" xfId="86" quotePrefix="1" applyNumberFormat="1" applyFont="1" applyBorder="1" applyAlignment="1">
      <alignment horizontal="center" wrapText="1"/>
    </xf>
    <xf numFmtId="169" fontId="39" fillId="0" borderId="24" xfId="86" applyNumberFormat="1" applyFont="1" applyFill="1" applyBorder="1" applyAlignment="1">
      <alignment horizontal="center" wrapText="1"/>
    </xf>
    <xf numFmtId="169" fontId="39" fillId="0" borderId="26" xfId="86" applyNumberFormat="1" applyFont="1" applyFill="1" applyBorder="1" applyAlignment="1">
      <alignment horizontal="center"/>
    </xf>
    <xf numFmtId="169" fontId="39" fillId="0" borderId="15" xfId="86" applyNumberFormat="1" applyFont="1" applyFill="1" applyBorder="1" applyAlignment="1">
      <alignment horizontal="center"/>
    </xf>
    <xf numFmtId="169" fontId="54" fillId="0" borderId="14" xfId="86" applyNumberFormat="1" applyFont="1" applyFill="1" applyBorder="1"/>
    <xf numFmtId="169" fontId="54" fillId="0" borderId="26" xfId="86" applyNumberFormat="1" applyFont="1" applyFill="1" applyBorder="1"/>
    <xf numFmtId="169" fontId="54" fillId="0" borderId="16" xfId="86" applyNumberFormat="1" applyFont="1" applyFill="1" applyBorder="1"/>
    <xf numFmtId="0" fontId="39" fillId="0" borderId="26" xfId="0" applyFont="1" applyBorder="1" applyAlignment="1">
      <alignment horizontal="center" wrapText="1"/>
    </xf>
    <xf numFmtId="169" fontId="39" fillId="0" borderId="0" xfId="86" quotePrefix="1" applyNumberFormat="1" applyFont="1" applyBorder="1" applyAlignment="1">
      <alignment horizontal="center" wrapText="1"/>
    </xf>
    <xf numFmtId="169" fontId="39" fillId="0" borderId="16" xfId="86" applyNumberFormat="1" applyFont="1" applyFill="1" applyBorder="1" applyAlignment="1">
      <alignment horizontal="center"/>
    </xf>
    <xf numFmtId="169" fontId="39" fillId="0" borderId="19" xfId="86" applyNumberFormat="1" applyFont="1" applyFill="1" applyBorder="1" applyAlignment="1">
      <alignment horizontal="center" wrapText="1"/>
    </xf>
    <xf numFmtId="169" fontId="39" fillId="0" borderId="19" xfId="86" applyNumberFormat="1" applyFont="1" applyBorder="1" applyAlignment="1">
      <alignment horizontal="center" wrapText="1"/>
    </xf>
    <xf numFmtId="0" fontId="0" fillId="0" borderId="0" xfId="0" applyProtection="1"/>
    <xf numFmtId="0" fontId="14" fillId="0" borderId="0" xfId="0" applyNumberFormat="1" applyFont="1" applyAlignment="1" applyProtection="1">
      <alignment horizontal="center"/>
    </xf>
    <xf numFmtId="3" fontId="14" fillId="0" borderId="0" xfId="0" quotePrefix="1" applyNumberFormat="1" applyFont="1" applyFill="1" applyAlignment="1" applyProtection="1">
      <alignment horizontal="center"/>
    </xf>
    <xf numFmtId="0" fontId="14" fillId="0" borderId="0" xfId="0" applyNumberFormat="1" applyFont="1" applyFill="1" applyAlignment="1" applyProtection="1">
      <alignment horizontal="center"/>
    </xf>
    <xf numFmtId="168" fontId="14" fillId="0" borderId="0" xfId="191" applyFont="1" applyFill="1" applyAlignment="1" applyProtection="1"/>
    <xf numFmtId="49" fontId="70" fillId="0" borderId="0" xfId="191" applyNumberFormat="1" applyFont="1" applyFill="1" applyAlignment="1" applyProtection="1">
      <alignment horizontal="center"/>
    </xf>
    <xf numFmtId="3" fontId="6" fillId="0" borderId="0" xfId="0"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0" borderId="0" xfId="0" quotePrefix="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xf>
    <xf numFmtId="0" fontId="39" fillId="0" borderId="11" xfId="0" applyFont="1" applyBorder="1" applyAlignment="1" applyProtection="1">
      <alignment horizontal="centerContinuous"/>
    </xf>
    <xf numFmtId="0" fontId="39" fillId="0" borderId="11" xfId="0" applyFont="1" applyBorder="1" applyAlignment="1" applyProtection="1">
      <alignment horizontal="left"/>
    </xf>
    <xf numFmtId="0" fontId="53" fillId="0" borderId="0" xfId="0" quotePrefix="1" applyFont="1" applyAlignment="1" applyProtection="1">
      <alignment horizontal="left"/>
    </xf>
    <xf numFmtId="0" fontId="39" fillId="0" borderId="0" xfId="0" applyFont="1" applyBorder="1" applyAlignment="1" applyProtection="1">
      <alignment horizontal="center"/>
    </xf>
    <xf numFmtId="0" fontId="65" fillId="0" borderId="11" xfId="0" quotePrefix="1" applyFont="1" applyBorder="1" applyAlignment="1" applyProtection="1">
      <alignment horizontal="centerContinuous"/>
    </xf>
    <xf numFmtId="0" fontId="65" fillId="0" borderId="0" xfId="0" quotePrefix="1" applyFont="1" applyBorder="1" applyAlignment="1" applyProtection="1">
      <alignment horizontal="centerContinuous"/>
    </xf>
    <xf numFmtId="0" fontId="65" fillId="0" borderId="11" xfId="0" applyFont="1" applyBorder="1" applyAlignment="1" applyProtection="1">
      <alignment horizontal="centerContinuous"/>
    </xf>
    <xf numFmtId="0" fontId="71" fillId="0" borderId="0" xfId="0" applyFont="1" applyFill="1" applyProtection="1"/>
    <xf numFmtId="0" fontId="65" fillId="0" borderId="0" xfId="0" applyFont="1" applyAlignment="1" applyProtection="1">
      <alignment horizontal="center" wrapText="1"/>
    </xf>
    <xf numFmtId="0" fontId="65" fillId="0" borderId="0" xfId="0" applyFont="1" applyAlignment="1" applyProtection="1">
      <alignment horizontal="center"/>
    </xf>
    <xf numFmtId="0" fontId="65" fillId="0" borderId="0" xfId="0" applyFont="1" applyBorder="1" applyAlignment="1" applyProtection="1">
      <alignment horizontal="center" wrapText="1"/>
    </xf>
    <xf numFmtId="0" fontId="65" fillId="0" borderId="0" xfId="0" quotePrefix="1" applyFont="1" applyBorder="1" applyAlignment="1" applyProtection="1">
      <alignment horizontal="center" wrapText="1"/>
    </xf>
    <xf numFmtId="0" fontId="65" fillId="0" borderId="0" xfId="0" applyFont="1" applyBorder="1" applyAlignment="1" applyProtection="1">
      <alignment horizontal="center"/>
    </xf>
    <xf numFmtId="0" fontId="65" fillId="0" borderId="0" xfId="0" quotePrefix="1" applyFont="1" applyFill="1" applyBorder="1" applyAlignment="1" applyProtection="1">
      <alignment horizontal="center" wrapText="1"/>
    </xf>
    <xf numFmtId="0" fontId="65" fillId="0" borderId="0" xfId="0" applyFont="1" applyFill="1" applyBorder="1" applyAlignment="1" applyProtection="1">
      <alignment horizontal="center" wrapText="1"/>
    </xf>
    <xf numFmtId="0" fontId="65" fillId="0" borderId="0" xfId="0" applyFont="1" applyFill="1" applyBorder="1" applyAlignment="1" applyProtection="1">
      <alignment horizontal="center"/>
    </xf>
    <xf numFmtId="0" fontId="0" fillId="0" borderId="41" xfId="0" applyBorder="1" applyAlignment="1" applyProtection="1">
      <alignment horizontal="center" wrapText="1"/>
    </xf>
    <xf numFmtId="0" fontId="39" fillId="0" borderId="0" xfId="0" applyFont="1" applyProtection="1"/>
    <xf numFmtId="0" fontId="0" fillId="0" borderId="25" xfId="0" applyBorder="1" applyProtection="1"/>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169" fontId="1" fillId="0" borderId="0" xfId="86" applyNumberFormat="1" applyFont="1" applyFill="1" applyAlignment="1" applyProtection="1">
      <alignment vertical="center"/>
    </xf>
    <xf numFmtId="169" fontId="1" fillId="0" borderId="0" xfId="86" applyNumberFormat="1" applyFill="1" applyAlignment="1" applyProtection="1">
      <alignment vertical="center"/>
    </xf>
    <xf numFmtId="0" fontId="0" fillId="0" borderId="0" xfId="0" applyFill="1" applyAlignment="1" applyProtection="1">
      <alignment vertical="center"/>
    </xf>
    <xf numFmtId="169" fontId="101" fillId="0" borderId="0" xfId="86" applyNumberFormat="1" applyFont="1" applyFill="1" applyAlignment="1" applyProtection="1">
      <alignment vertical="center"/>
    </xf>
    <xf numFmtId="169" fontId="64" fillId="26" borderId="0" xfId="86" applyNumberFormat="1" applyFont="1" applyFill="1" applyAlignment="1" applyProtection="1">
      <alignment vertical="center"/>
    </xf>
    <xf numFmtId="169" fontId="1" fillId="0" borderId="0" xfId="86" applyNumberFormat="1" applyAlignment="1" applyProtection="1">
      <alignment vertical="center"/>
    </xf>
    <xf numFmtId="169" fontId="39" fillId="0" borderId="0" xfId="86" applyNumberFormat="1" applyFont="1" applyAlignment="1" applyProtection="1">
      <alignment horizontal="center" vertical="center"/>
    </xf>
    <xf numFmtId="169" fontId="0" fillId="0" borderId="25" xfId="0" applyNumberFormat="1" applyBorder="1" applyProtection="1"/>
    <xf numFmtId="169" fontId="39" fillId="0" borderId="0" xfId="86" applyNumberFormat="1" applyFont="1" applyAlignment="1" applyProtection="1">
      <alignment vertical="center"/>
    </xf>
    <xf numFmtId="169" fontId="1" fillId="0" borderId="0" xfId="86" applyNumberFormat="1" applyFont="1" applyFill="1" applyBorder="1" applyAlignment="1" applyProtection="1">
      <alignment vertical="center"/>
    </xf>
    <xf numFmtId="169" fontId="1" fillId="0" borderId="0" xfId="86" applyNumberFormat="1" applyFill="1" applyBorder="1" applyAlignment="1" applyProtection="1">
      <alignment vertical="center"/>
    </xf>
    <xf numFmtId="0" fontId="0" fillId="0" borderId="0" xfId="0" applyFill="1" applyBorder="1" applyAlignment="1" applyProtection="1">
      <alignment vertical="center"/>
    </xf>
    <xf numFmtId="169" fontId="64" fillId="26" borderId="0" xfId="86" applyNumberFormat="1" applyFont="1" applyFill="1" applyBorder="1" applyAlignment="1" applyProtection="1">
      <alignment vertical="center"/>
    </xf>
    <xf numFmtId="169" fontId="1" fillId="0" borderId="0" xfId="86" applyNumberFormat="1" applyBorder="1" applyAlignment="1" applyProtection="1">
      <alignment vertical="center"/>
    </xf>
    <xf numFmtId="169" fontId="39" fillId="0" borderId="0" xfId="86" applyNumberFormat="1" applyFont="1" applyBorder="1" applyAlignment="1" applyProtection="1">
      <alignment vertical="center"/>
    </xf>
    <xf numFmtId="0" fontId="7" fillId="0" borderId="0" xfId="0" quotePrefix="1" applyFont="1" applyAlignment="1" applyProtection="1">
      <alignment horizontal="center" vertical="center"/>
    </xf>
    <xf numFmtId="169" fontId="1" fillId="0" borderId="0" xfId="86" applyNumberFormat="1" applyFont="1" applyBorder="1" applyAlignment="1" applyProtection="1">
      <alignment vertical="center"/>
    </xf>
    <xf numFmtId="0" fontId="39" fillId="0" borderId="2" xfId="0" applyFont="1" applyBorder="1" applyAlignment="1" applyProtection="1">
      <alignment horizontal="center" vertical="center"/>
    </xf>
    <xf numFmtId="0" fontId="0" fillId="0" borderId="2" xfId="0" applyBorder="1" applyAlignment="1" applyProtection="1">
      <alignment horizontal="center" vertical="center"/>
    </xf>
    <xf numFmtId="169" fontId="1" fillId="0" borderId="2" xfId="86" applyNumberFormat="1" applyBorder="1" applyAlignment="1" applyProtection="1">
      <alignment vertical="center"/>
    </xf>
    <xf numFmtId="169" fontId="64" fillId="26" borderId="2" xfId="86" applyNumberFormat="1" applyFont="1" applyFill="1" applyBorder="1" applyAlignment="1" applyProtection="1">
      <alignment vertical="center"/>
    </xf>
    <xf numFmtId="169" fontId="39" fillId="0" borderId="25" xfId="0" applyNumberFormat="1" applyFont="1" applyBorder="1" applyProtection="1"/>
    <xf numFmtId="0" fontId="64" fillId="0" borderId="0" xfId="0" quotePrefix="1" applyFont="1" applyAlignment="1" applyProtection="1">
      <alignment horizontal="left"/>
    </xf>
    <xf numFmtId="0" fontId="7" fillId="0" borderId="0" xfId="0" applyFont="1" applyAlignment="1" applyProtection="1">
      <alignment vertical="center"/>
    </xf>
    <xf numFmtId="169" fontId="72" fillId="0" borderId="0" xfId="86" applyNumberFormat="1" applyFont="1" applyAlignment="1" applyProtection="1">
      <alignment horizontal="center" vertical="center"/>
    </xf>
    <xf numFmtId="43" fontId="53" fillId="0" borderId="0" xfId="86" applyFont="1" applyAlignment="1" applyProtection="1">
      <alignment horizontal="center" vertical="center"/>
    </xf>
    <xf numFmtId="43" fontId="74" fillId="0" borderId="0" xfId="86" applyFont="1" applyAlignment="1" applyProtection="1">
      <alignment horizontal="left" vertical="center"/>
    </xf>
    <xf numFmtId="169" fontId="74" fillId="0" borderId="0" xfId="86" applyNumberFormat="1" applyFont="1" applyAlignment="1" applyProtection="1">
      <alignment horizontal="center" vertical="center"/>
    </xf>
    <xf numFmtId="43" fontId="1" fillId="0" borderId="0" xfId="86" applyAlignment="1" applyProtection="1">
      <alignment vertical="center"/>
    </xf>
    <xf numFmtId="169" fontId="0" fillId="0" borderId="26" xfId="0" applyNumberFormat="1" applyBorder="1" applyProtection="1"/>
    <xf numFmtId="0" fontId="7" fillId="0" borderId="0" xfId="0" quotePrefix="1" applyFont="1" applyAlignment="1" applyProtection="1">
      <alignment horizontal="left" vertical="center"/>
    </xf>
    <xf numFmtId="174" fontId="5" fillId="0" borderId="0" xfId="0" applyNumberFormat="1" applyFont="1" applyAlignment="1" applyProtection="1">
      <alignment horizontal="center" vertical="center"/>
    </xf>
    <xf numFmtId="0" fontId="0" fillId="0" borderId="0" xfId="0" quotePrefix="1" applyAlignment="1" applyProtection="1">
      <alignment horizontal="left" vertical="center"/>
    </xf>
    <xf numFmtId="169" fontId="64" fillId="26" borderId="0" xfId="0" applyNumberFormat="1" applyFont="1" applyFill="1" applyAlignment="1" applyProtection="1">
      <alignment vertical="center"/>
    </xf>
    <xf numFmtId="169" fontId="1" fillId="0" borderId="0" xfId="86" applyNumberFormat="1" applyProtection="1"/>
    <xf numFmtId="164" fontId="1" fillId="0" borderId="0" xfId="0" applyNumberFormat="1" applyFont="1" applyFill="1" applyProtection="1"/>
    <xf numFmtId="43" fontId="1" fillId="0" borderId="0" xfId="86" applyProtection="1"/>
    <xf numFmtId="0" fontId="0" fillId="0" borderId="33" xfId="0" applyBorder="1" applyProtection="1"/>
    <xf numFmtId="0" fontId="0" fillId="0" borderId="2" xfId="0" applyBorder="1" applyProtection="1"/>
    <xf numFmtId="169" fontId="1" fillId="0" borderId="2" xfId="86" applyNumberFormat="1" applyBorder="1" applyProtection="1"/>
    <xf numFmtId="0" fontId="0" fillId="0" borderId="27" xfId="0" applyBorder="1" applyProtection="1"/>
    <xf numFmtId="0" fontId="0" fillId="0" borderId="34" xfId="0" applyBorder="1" applyProtection="1"/>
    <xf numFmtId="0" fontId="0" fillId="0" borderId="0" xfId="0" applyBorder="1" applyProtection="1"/>
    <xf numFmtId="0" fontId="0" fillId="0" borderId="0" xfId="0" applyBorder="1" applyAlignment="1" applyProtection="1">
      <alignment horizontal="center"/>
    </xf>
    <xf numFmtId="49" fontId="70" fillId="0" borderId="0" xfId="191" applyNumberFormat="1"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Protection="1"/>
    <xf numFmtId="0" fontId="0" fillId="0" borderId="11" xfId="0" applyBorder="1" applyProtection="1"/>
    <xf numFmtId="169" fontId="1" fillId="0" borderId="11" xfId="86" applyNumberFormat="1" applyBorder="1" applyProtection="1"/>
    <xf numFmtId="0" fontId="0" fillId="0" borderId="37" xfId="0" applyBorder="1" applyProtection="1"/>
    <xf numFmtId="0" fontId="0" fillId="0" borderId="0" xfId="0" quotePrefix="1" applyAlignment="1" applyProtection="1">
      <alignment horizontal="center"/>
    </xf>
    <xf numFmtId="43" fontId="0" fillId="0" borderId="0" xfId="86" applyFont="1" applyProtection="1"/>
    <xf numFmtId="43" fontId="0" fillId="0" borderId="0" xfId="0" applyNumberFormat="1" applyProtection="1"/>
    <xf numFmtId="43" fontId="0" fillId="0" borderId="0" xfId="196" applyNumberFormat="1" applyFont="1" applyProtection="1"/>
    <xf numFmtId="0" fontId="39" fillId="0" borderId="0" xfId="0" quotePrefix="1" applyFont="1" applyAlignment="1" applyProtection="1">
      <alignment horizontal="left"/>
    </xf>
    <xf numFmtId="0" fontId="47" fillId="0" borderId="0" xfId="0" applyFont="1" applyFill="1" applyProtection="1"/>
    <xf numFmtId="170" fontId="0" fillId="0" borderId="0" xfId="106" applyNumberFormat="1" applyFont="1" applyProtection="1"/>
    <xf numFmtId="0" fontId="9" fillId="0" borderId="0" xfId="0" applyFont="1" applyAlignment="1" applyProtection="1">
      <alignment horizontal="left"/>
    </xf>
    <xf numFmtId="0" fontId="7" fillId="0" borderId="0" xfId="191" applyNumberFormat="1" applyFont="1" applyBorder="1" applyAlignment="1" applyProtection="1"/>
    <xf numFmtId="3" fontId="7" fillId="0" borderId="0" xfId="191" applyNumberFormat="1" applyFont="1" applyAlignment="1" applyProtection="1"/>
    <xf numFmtId="10" fontId="7" fillId="0" borderId="0" xfId="191" applyNumberFormat="1" applyFont="1" applyAlignment="1" applyProtection="1"/>
    <xf numFmtId="166" fontId="7" fillId="0" borderId="0" xfId="191" applyNumberFormat="1" applyFont="1" applyAlignment="1" applyProtection="1"/>
    <xf numFmtId="43" fontId="7" fillId="0" borderId="0" xfId="86" applyFont="1" applyAlignment="1" applyProtection="1"/>
    <xf numFmtId="168" fontId="7" fillId="0" borderId="0" xfId="191" applyFont="1" applyAlignment="1" applyProtection="1"/>
    <xf numFmtId="168" fontId="7" fillId="0" borderId="0" xfId="191" applyFont="1" applyBorder="1" applyAlignment="1" applyProtection="1"/>
    <xf numFmtId="0" fontId="7" fillId="0" borderId="0" xfId="0" applyFont="1" applyProtection="1"/>
    <xf numFmtId="0" fontId="7" fillId="0" borderId="0" xfId="0" applyFont="1" applyFill="1" applyProtection="1"/>
    <xf numFmtId="0" fontId="7" fillId="26" borderId="0" xfId="86" applyNumberFormat="1" applyFont="1" applyFill="1" applyAlignment="1" applyProtection="1"/>
    <xf numFmtId="10" fontId="7" fillId="0" borderId="0" xfId="191" applyNumberFormat="1" applyFont="1" applyFill="1" applyAlignment="1" applyProtection="1">
      <alignment horizontal="right"/>
    </xf>
    <xf numFmtId="3" fontId="39" fillId="0" borderId="0" xfId="191" applyNumberFormat="1" applyFont="1" applyAlignment="1" applyProtection="1"/>
    <xf numFmtId="0" fontId="7" fillId="0" borderId="0" xfId="0" applyFont="1" applyFill="1" applyBorder="1" applyProtection="1"/>
    <xf numFmtId="3" fontId="48" fillId="0" borderId="0" xfId="191" applyNumberFormat="1" applyFont="1" applyAlignment="1" applyProtection="1">
      <alignment horizontal="center"/>
    </xf>
    <xf numFmtId="10" fontId="48" fillId="0" borderId="0" xfId="191" applyNumberFormat="1" applyFont="1" applyFill="1" applyAlignment="1" applyProtection="1">
      <alignment horizontal="center"/>
    </xf>
    <xf numFmtId="0" fontId="7" fillId="0" borderId="0" xfId="191" applyNumberFormat="1" applyFont="1" applyFill="1" applyBorder="1" applyAlignment="1" applyProtection="1">
      <alignment horizontal="right"/>
    </xf>
    <xf numFmtId="10" fontId="0" fillId="0" borderId="0" xfId="0" applyNumberFormat="1" applyAlignment="1" applyProtection="1">
      <alignment horizontal="center"/>
    </xf>
    <xf numFmtId="10" fontId="7" fillId="0" borderId="0" xfId="196" applyNumberFormat="1" applyFont="1" applyAlignment="1" applyProtection="1">
      <alignment horizontal="center"/>
    </xf>
    <xf numFmtId="10" fontId="7" fillId="0" borderId="0" xfId="196" applyNumberFormat="1" applyFont="1" applyFill="1" applyAlignment="1" applyProtection="1"/>
    <xf numFmtId="165" fontId="7" fillId="0" borderId="0" xfId="191" applyNumberFormat="1" applyFont="1" applyAlignment="1" applyProtection="1">
      <alignment horizontal="center"/>
    </xf>
    <xf numFmtId="165" fontId="7" fillId="0" borderId="0" xfId="191" applyNumberFormat="1" applyFont="1" applyBorder="1" applyAlignment="1" applyProtection="1">
      <alignment horizontal="center"/>
    </xf>
    <xf numFmtId="168" fontId="7" fillId="0" borderId="13" xfId="191" applyFont="1" applyBorder="1" applyAlignment="1" applyProtection="1"/>
    <xf numFmtId="0" fontId="7" fillId="0" borderId="0" xfId="191" applyNumberFormat="1" applyFont="1" applyBorder="1" applyAlignment="1" applyProtection="1">
      <alignment horizontal="center"/>
    </xf>
    <xf numFmtId="3" fontId="7" fillId="0" borderId="14" xfId="191" applyNumberFormat="1" applyFont="1" applyBorder="1" applyAlignment="1" applyProtection="1"/>
    <xf numFmtId="41" fontId="7" fillId="0" borderId="0" xfId="191" applyNumberFormat="1" applyFont="1" applyAlignment="1" applyProtection="1"/>
    <xf numFmtId="41" fontId="7" fillId="0" borderId="0" xfId="191" applyNumberFormat="1" applyFont="1" applyAlignment="1" applyProtection="1">
      <alignment horizontal="center"/>
    </xf>
    <xf numFmtId="41" fontId="7" fillId="0" borderId="0" xfId="191" applyNumberFormat="1" applyFont="1" applyBorder="1" applyAlignment="1" applyProtection="1">
      <alignment horizontal="center"/>
    </xf>
    <xf numFmtId="0" fontId="0" fillId="0" borderId="13" xfId="0" applyBorder="1" applyProtection="1"/>
    <xf numFmtId="0" fontId="0" fillId="0" borderId="14" xfId="0" applyBorder="1" applyProtection="1"/>
    <xf numFmtId="0" fontId="7" fillId="0" borderId="0" xfId="191" applyNumberFormat="1" applyFont="1" applyBorder="1" applyAlignment="1" applyProtection="1">
      <alignment horizontal="right"/>
    </xf>
    <xf numFmtId="10" fontId="48" fillId="0" borderId="0" xfId="196" applyNumberFormat="1" applyFont="1" applyFill="1" applyAlignment="1" applyProtection="1"/>
    <xf numFmtId="165" fontId="15" fillId="0" borderId="15" xfId="191" applyNumberFormat="1" applyFont="1" applyBorder="1" applyAlignment="1" applyProtection="1">
      <alignment horizontal="center"/>
    </xf>
    <xf numFmtId="0" fontId="7" fillId="27" borderId="6" xfId="191" applyNumberFormat="1" applyFont="1" applyFill="1" applyBorder="1" applyAlignment="1" applyProtection="1">
      <alignment horizontal="center"/>
    </xf>
    <xf numFmtId="169" fontId="7" fillId="0" borderId="6" xfId="191" applyNumberFormat="1" applyFont="1" applyBorder="1" applyAlignment="1" applyProtection="1">
      <alignment horizontal="center"/>
    </xf>
    <xf numFmtId="170" fontId="0" fillId="0" borderId="16" xfId="0" applyNumberFormat="1" applyBorder="1" applyProtection="1"/>
    <xf numFmtId="10" fontId="7" fillId="0" borderId="0" xfId="196" applyNumberFormat="1" applyFont="1" applyAlignment="1" applyProtection="1">
      <alignment horizontal="right"/>
    </xf>
    <xf numFmtId="0" fontId="63" fillId="0" borderId="0" xfId="0" applyFont="1" applyAlignment="1" applyProtection="1">
      <alignment horizontal="center"/>
    </xf>
    <xf numFmtId="10" fontId="7" fillId="0" borderId="0" xfId="191" applyNumberFormat="1" applyFont="1" applyFill="1" applyAlignment="1" applyProtection="1">
      <alignment horizontal="left"/>
    </xf>
    <xf numFmtId="41" fontId="7" fillId="0" borderId="0" xfId="191" applyNumberFormat="1" applyFont="1" applyBorder="1" applyAlignment="1" applyProtection="1"/>
    <xf numFmtId="41" fontId="7" fillId="0" borderId="0" xfId="191" applyNumberFormat="1" applyFont="1" applyFill="1" applyAlignment="1" applyProtection="1"/>
    <xf numFmtId="0" fontId="7" fillId="0" borderId="0" xfId="191" applyNumberFormat="1" applyFont="1" applyAlignment="1" applyProtection="1">
      <alignment horizontal="center"/>
    </xf>
    <xf numFmtId="169" fontId="0" fillId="0" borderId="0" xfId="0" applyNumberFormat="1" applyProtection="1"/>
    <xf numFmtId="0" fontId="7" fillId="0" borderId="0" xfId="0" applyFont="1" applyBorder="1" applyProtection="1"/>
    <xf numFmtId="41" fontId="7" fillId="0" borderId="0" xfId="191" quotePrefix="1" applyNumberFormat="1" applyFont="1" applyBorder="1" applyAlignment="1" applyProtection="1"/>
    <xf numFmtId="41" fontId="7" fillId="0" borderId="0" xfId="191" applyNumberFormat="1" applyFont="1" applyFill="1" applyBorder="1" applyAlignment="1" applyProtection="1">
      <alignment horizontal="right"/>
    </xf>
    <xf numFmtId="171" fontId="7" fillId="0" borderId="11" xfId="191" applyNumberFormat="1" applyFont="1" applyBorder="1" applyAlignment="1" applyProtection="1"/>
    <xf numFmtId="43" fontId="7" fillId="0" borderId="0" xfId="191" applyNumberFormat="1" applyFont="1" applyBorder="1" applyAlignment="1" applyProtection="1"/>
    <xf numFmtId="164" fontId="7" fillId="0" borderId="0" xfId="191" applyNumberFormat="1" applyFont="1" applyFill="1" applyBorder="1" applyAlignment="1" applyProtection="1">
      <alignment horizontal="left"/>
    </xf>
    <xf numFmtId="164" fontId="7" fillId="0" borderId="0" xfId="191" applyNumberFormat="1" applyFont="1" applyBorder="1" applyAlignment="1" applyProtection="1">
      <alignment horizontal="left"/>
    </xf>
    <xf numFmtId="3" fontId="7" fillId="0" borderId="0" xfId="191" applyNumberFormat="1" applyFont="1" applyAlignment="1" applyProtection="1">
      <alignment vertical="center" wrapText="1"/>
    </xf>
    <xf numFmtId="41" fontId="7" fillId="0" borderId="0" xfId="191" applyNumberFormat="1" applyFont="1" applyBorder="1" applyAlignment="1" applyProtection="1">
      <alignment vertical="center"/>
    </xf>
    <xf numFmtId="41" fontId="7" fillId="0" borderId="0" xfId="191" applyNumberFormat="1" applyFont="1" applyBorder="1" applyAlignment="1" applyProtection="1">
      <alignment horizontal="center" vertical="center"/>
    </xf>
    <xf numFmtId="0" fontId="39" fillId="0" borderId="0" xfId="0" applyFont="1" applyFill="1" applyBorder="1" applyProtection="1"/>
    <xf numFmtId="3" fontId="7" fillId="0" borderId="0" xfId="191" applyNumberFormat="1" applyFont="1" applyAlignment="1" applyProtection="1">
      <alignment horizontal="right"/>
    </xf>
    <xf numFmtId="41" fontId="7" fillId="0" borderId="0" xfId="191" applyNumberFormat="1" applyFont="1" applyAlignment="1" applyProtection="1">
      <alignment horizontal="right"/>
    </xf>
    <xf numFmtId="10" fontId="7" fillId="0" borderId="0" xfId="0" applyNumberFormat="1" applyFont="1" applyBorder="1" applyProtection="1"/>
    <xf numFmtId="0" fontId="7" fillId="0" borderId="0" xfId="0" applyFont="1" applyAlignment="1" applyProtection="1">
      <alignment horizontal="center"/>
    </xf>
    <xf numFmtId="10" fontId="7" fillId="0" borderId="0" xfId="191" applyNumberFormat="1" applyFont="1" applyFill="1" applyBorder="1" applyAlignment="1" applyProtection="1">
      <alignment horizontal="right"/>
    </xf>
    <xf numFmtId="169" fontId="7" fillId="0" borderId="0" xfId="86" applyNumberFormat="1" applyFont="1" applyBorder="1" applyProtection="1"/>
    <xf numFmtId="164" fontId="7" fillId="0" borderId="2" xfId="191" applyNumberFormat="1" applyFont="1" applyFill="1" applyBorder="1" applyAlignment="1" applyProtection="1">
      <alignment horizontal="left"/>
    </xf>
    <xf numFmtId="0" fontId="7" fillId="0" borderId="2" xfId="0" applyFont="1" applyFill="1" applyBorder="1" applyAlignment="1" applyProtection="1">
      <alignment horizontal="center"/>
    </xf>
    <xf numFmtId="41" fontId="7" fillId="0" borderId="2" xfId="0" applyNumberFormat="1" applyFont="1" applyBorder="1" applyProtection="1"/>
    <xf numFmtId="41" fontId="7" fillId="0" borderId="0" xfId="0" applyNumberFormat="1" applyFont="1" applyBorder="1" applyProtection="1"/>
    <xf numFmtId="0" fontId="7" fillId="0" borderId="0" xfId="0" applyFont="1" applyFill="1" applyBorder="1" applyAlignment="1" applyProtection="1"/>
    <xf numFmtId="3" fontId="14" fillId="0" borderId="0" xfId="191" applyNumberFormat="1" applyFont="1" applyFill="1" applyBorder="1" applyAlignment="1" applyProtection="1"/>
    <xf numFmtId="41" fontId="7" fillId="0" borderId="0" xfId="191" applyNumberFormat="1" applyFont="1" applyFill="1" applyBorder="1" applyAlignment="1" applyProtection="1"/>
    <xf numFmtId="3" fontId="14" fillId="0" borderId="0" xfId="191" applyNumberFormat="1" applyFont="1" applyFill="1" applyBorder="1" applyAlignment="1" applyProtection="1">
      <alignment horizontal="center"/>
    </xf>
    <xf numFmtId="41" fontId="14" fillId="0" borderId="0" xfId="191" applyNumberFormat="1" applyFont="1" applyFill="1" applyBorder="1" applyAlignment="1" applyProtection="1"/>
    <xf numFmtId="0" fontId="14" fillId="0" borderId="0" xfId="191" applyNumberFormat="1" applyFont="1" applyFill="1" applyBorder="1" applyAlignment="1" applyProtection="1"/>
    <xf numFmtId="0" fontId="6" fillId="0" borderId="0" xfId="0" applyFont="1" applyFill="1" applyProtection="1"/>
    <xf numFmtId="0" fontId="9" fillId="0" borderId="0" xfId="0" applyFont="1" applyFill="1" applyAlignment="1" applyProtection="1">
      <alignment horizontal="left"/>
    </xf>
    <xf numFmtId="3" fontId="7" fillId="0" borderId="0" xfId="191" applyNumberFormat="1" applyFont="1" applyFill="1" applyBorder="1" applyAlignment="1" applyProtection="1"/>
    <xf numFmtId="41" fontId="7" fillId="0" borderId="0" xfId="191" applyNumberFormat="1" applyFont="1" applyFill="1" applyBorder="1" applyAlignment="1" applyProtection="1">
      <alignment horizontal="center"/>
    </xf>
    <xf numFmtId="0" fontId="7" fillId="0" borderId="0" xfId="191" applyNumberFormat="1" applyFont="1" applyFill="1" applyBorder="1" applyProtection="1"/>
    <xf numFmtId="3" fontId="7" fillId="0" borderId="0" xfId="191" applyNumberFormat="1" applyFont="1" applyFill="1" applyBorder="1" applyAlignment="1" applyProtection="1">
      <alignment horizontal="center"/>
    </xf>
    <xf numFmtId="0" fontId="7" fillId="0" borderId="0" xfId="191" applyNumberFormat="1" applyFont="1" applyFill="1" applyBorder="1" applyAlignment="1" applyProtection="1"/>
    <xf numFmtId="41" fontId="7" fillId="0" borderId="11" xfId="191" applyNumberFormat="1" applyFont="1" applyFill="1" applyBorder="1" applyAlignment="1" applyProtection="1"/>
    <xf numFmtId="0" fontId="7" fillId="0" borderId="0" xfId="191" applyNumberFormat="1" applyFont="1" applyFill="1" applyBorder="1" applyAlignment="1" applyProtection="1">
      <alignment horizontal="center"/>
    </xf>
    <xf numFmtId="10" fontId="7" fillId="0" borderId="0" xfId="191" applyNumberFormat="1" applyFont="1" applyFill="1" applyBorder="1" applyAlignment="1" applyProtection="1"/>
    <xf numFmtId="167" fontId="7" fillId="0" borderId="0" xfId="191" applyNumberFormat="1" applyFont="1" applyFill="1" applyBorder="1" applyAlignment="1" applyProtection="1"/>
    <xf numFmtId="168" fontId="7" fillId="0" borderId="0" xfId="191" applyFont="1" applyFill="1" applyBorder="1" applyAlignment="1" applyProtection="1"/>
    <xf numFmtId="3" fontId="7" fillId="0" borderId="0" xfId="191" quotePrefix="1" applyNumberFormat="1" applyFont="1" applyFill="1" applyBorder="1" applyAlignment="1" applyProtection="1"/>
    <xf numFmtId="3" fontId="39" fillId="0" borderId="0" xfId="191" applyNumberFormat="1" applyFont="1" applyFill="1" applyBorder="1" applyAlignment="1" applyProtection="1">
      <alignment horizontal="right"/>
    </xf>
    <xf numFmtId="167" fontId="39" fillId="0" borderId="0" xfId="191" applyNumberFormat="1" applyFont="1" applyFill="1" applyBorder="1" applyAlignment="1" applyProtection="1"/>
    <xf numFmtId="3" fontId="39" fillId="0" borderId="0" xfId="191" quotePrefix="1" applyNumberFormat="1" applyFont="1" applyFill="1" applyBorder="1" applyAlignment="1" applyProtection="1"/>
    <xf numFmtId="0" fontId="7" fillId="0" borderId="0" xfId="0" applyFont="1" applyFill="1" applyBorder="1" applyAlignment="1" applyProtection="1">
      <alignment horizontal="center"/>
    </xf>
    <xf numFmtId="41" fontId="7" fillId="0" borderId="0" xfId="0" applyNumberFormat="1" applyFont="1" applyFill="1" applyBorder="1" applyProtection="1"/>
    <xf numFmtId="169" fontId="7" fillId="0" borderId="0" xfId="86" applyNumberFormat="1" applyFont="1" applyFill="1" applyBorder="1" applyProtection="1"/>
    <xf numFmtId="41" fontId="48" fillId="0" borderId="0" xfId="191" applyNumberFormat="1" applyFont="1" applyFill="1" applyBorder="1" applyAlignment="1" applyProtection="1"/>
    <xf numFmtId="169" fontId="7" fillId="0" borderId="0" xfId="86" applyNumberFormat="1" applyFont="1" applyProtection="1"/>
    <xf numFmtId="41" fontId="7" fillId="0" borderId="0" xfId="0" applyNumberFormat="1" applyFont="1" applyProtection="1"/>
    <xf numFmtId="0" fontId="0" fillId="0" borderId="0" xfId="0" applyAlignment="1" applyProtection="1"/>
    <xf numFmtId="41" fontId="7" fillId="0" borderId="11" xfId="0" applyNumberFormat="1" applyFont="1" applyFill="1" applyBorder="1" applyProtection="1"/>
    <xf numFmtId="41" fontId="48" fillId="0" borderId="0" xfId="0" applyNumberFormat="1" applyFont="1" applyProtection="1"/>
    <xf numFmtId="0" fontId="0" fillId="0" borderId="0" xfId="0" applyFill="1" applyAlignment="1" applyProtection="1"/>
    <xf numFmtId="41" fontId="7" fillId="0" borderId="0" xfId="0" applyNumberFormat="1" applyFont="1" applyFill="1" applyProtection="1"/>
    <xf numFmtId="169" fontId="7" fillId="0" borderId="0" xfId="86" applyNumberFormat="1" applyFont="1" applyFill="1" applyProtection="1"/>
    <xf numFmtId="0" fontId="7" fillId="0" borderId="0" xfId="0" applyFont="1" applyFill="1" applyAlignment="1" applyProtection="1">
      <alignment horizontal="center"/>
    </xf>
    <xf numFmtId="10" fontId="7" fillId="0" borderId="11" xfId="0" applyNumberFormat="1" applyFont="1" applyFill="1" applyBorder="1" applyProtection="1"/>
    <xf numFmtId="9" fontId="7" fillId="0" borderId="11" xfId="196" applyFont="1" applyFill="1" applyBorder="1" applyProtection="1"/>
    <xf numFmtId="169" fontId="7" fillId="0" borderId="11" xfId="86" applyNumberFormat="1" applyFont="1" applyFill="1" applyBorder="1" applyAlignment="1" applyProtection="1"/>
    <xf numFmtId="41" fontId="0" fillId="0" borderId="0" xfId="0" applyNumberFormat="1" applyProtection="1"/>
    <xf numFmtId="41" fontId="7" fillId="0" borderId="11" xfId="0" applyNumberFormat="1" applyFont="1" applyBorder="1" applyProtection="1"/>
    <xf numFmtId="10" fontId="7" fillId="0" borderId="0" xfId="0" applyNumberFormat="1" applyFont="1" applyProtection="1"/>
    <xf numFmtId="10" fontId="48" fillId="0" borderId="0" xfId="0" applyNumberFormat="1" applyFont="1" applyProtection="1"/>
    <xf numFmtId="169" fontId="7" fillId="0" borderId="11" xfId="86" applyNumberFormat="1" applyFont="1" applyFill="1" applyBorder="1" applyProtection="1"/>
    <xf numFmtId="169" fontId="7" fillId="0" borderId="0" xfId="87" applyNumberFormat="1" applyFont="1" applyFill="1" applyBorder="1" applyProtection="1"/>
    <xf numFmtId="173" fontId="7" fillId="0" borderId="0" xfId="0" applyNumberFormat="1" applyFont="1" applyProtection="1"/>
    <xf numFmtId="10" fontId="7" fillId="0" borderId="0" xfId="0" applyNumberFormat="1" applyFont="1" applyFill="1" applyProtection="1"/>
    <xf numFmtId="43" fontId="7" fillId="0" borderId="0" xfId="86" applyFont="1" applyProtection="1"/>
    <xf numFmtId="43" fontId="7" fillId="0" borderId="0" xfId="86" applyNumberFormat="1" applyFont="1" applyProtection="1"/>
    <xf numFmtId="169" fontId="7" fillId="0" borderId="0" xfId="0" applyNumberFormat="1" applyFont="1" applyProtection="1"/>
    <xf numFmtId="0" fontId="7" fillId="0" borderId="0" xfId="0" applyNumberFormat="1" applyFont="1" applyBorder="1" applyAlignment="1" applyProtection="1">
      <alignment horizontal="center"/>
    </xf>
    <xf numFmtId="169" fontId="7" fillId="0" borderId="0" xfId="0" applyNumberFormat="1" applyFont="1" applyBorder="1" applyProtection="1"/>
    <xf numFmtId="170" fontId="7" fillId="0" borderId="0" xfId="0" applyNumberFormat="1" applyFont="1" applyBorder="1" applyProtection="1"/>
    <xf numFmtId="0" fontId="65" fillId="0" borderId="0" xfId="0" quotePrefix="1" applyFont="1" applyAlignment="1" applyProtection="1">
      <alignment horizontal="left"/>
    </xf>
    <xf numFmtId="0" fontId="0" fillId="0" borderId="0" xfId="0" quotePrefix="1" applyAlignment="1" applyProtection="1">
      <alignment horizontal="left"/>
    </xf>
    <xf numFmtId="0" fontId="66" fillId="0" borderId="0" xfId="0" quotePrefix="1" applyFont="1" applyAlignment="1" applyProtection="1">
      <alignment horizontal="left"/>
    </xf>
    <xf numFmtId="0" fontId="7" fillId="0" borderId="17" xfId="0" quotePrefix="1" applyFont="1" applyFill="1" applyBorder="1" applyAlignment="1" applyProtection="1">
      <alignment horizontal="left"/>
    </xf>
    <xf numFmtId="0" fontId="0" fillId="0" borderId="48" xfId="0" quotePrefix="1" applyBorder="1" applyAlignment="1" applyProtection="1">
      <alignment horizontal="left"/>
    </xf>
    <xf numFmtId="0" fontId="54" fillId="0" borderId="39" xfId="0" quotePrefix="1" applyFont="1" applyFill="1" applyBorder="1" applyAlignment="1" applyProtection="1">
      <alignment horizontal="right"/>
    </xf>
    <xf numFmtId="0" fontId="83" fillId="0" borderId="14" xfId="0" applyFont="1" applyBorder="1" applyProtection="1"/>
    <xf numFmtId="10" fontId="1" fillId="0" borderId="0" xfId="0" applyNumberFormat="1" applyFont="1" applyFill="1" applyProtection="1"/>
    <xf numFmtId="169" fontId="54" fillId="0" borderId="39" xfId="86" applyNumberFormat="1" applyFont="1" applyFill="1" applyBorder="1" applyProtection="1"/>
    <xf numFmtId="179" fontId="54" fillId="0" borderId="39" xfId="196" applyNumberFormat="1" applyFont="1" applyFill="1" applyBorder="1" applyProtection="1"/>
    <xf numFmtId="0" fontId="83" fillId="0" borderId="49" xfId="0" applyFont="1" applyBorder="1" applyProtection="1"/>
    <xf numFmtId="0" fontId="83" fillId="0" borderId="47" xfId="0" applyFont="1" applyBorder="1" applyProtection="1"/>
    <xf numFmtId="41" fontId="54" fillId="0" borderId="39" xfId="0" applyNumberFormat="1" applyFont="1" applyFill="1" applyBorder="1" applyProtection="1"/>
    <xf numFmtId="3" fontId="54" fillId="0" borderId="43" xfId="0" applyNumberFormat="1" applyFont="1" applyBorder="1" applyProtection="1"/>
    <xf numFmtId="10" fontId="54" fillId="0" borderId="13" xfId="0" applyNumberFormat="1" applyFont="1" applyFill="1" applyBorder="1" applyProtection="1"/>
    <xf numFmtId="0" fontId="54" fillId="0" borderId="14" xfId="0" applyFont="1" applyBorder="1" applyProtection="1"/>
    <xf numFmtId="41" fontId="54" fillId="0" borderId="13" xfId="0" applyNumberFormat="1" applyFont="1" applyBorder="1" applyProtection="1"/>
    <xf numFmtId="10" fontId="54" fillId="0" borderId="13" xfId="0" applyNumberFormat="1" applyFont="1" applyBorder="1" applyProtection="1"/>
    <xf numFmtId="0" fontId="54" fillId="0" borderId="20" xfId="0" applyFont="1" applyBorder="1" applyProtection="1"/>
    <xf numFmtId="169" fontId="54" fillId="0" borderId="39" xfId="0" applyNumberFormat="1" applyFont="1" applyBorder="1" applyProtection="1"/>
    <xf numFmtId="169" fontId="54" fillId="0" borderId="45" xfId="0" applyNumberFormat="1" applyFont="1" applyBorder="1" applyProtection="1"/>
    <xf numFmtId="0" fontId="54" fillId="0" borderId="50" xfId="0" applyFont="1" applyBorder="1" applyProtection="1"/>
    <xf numFmtId="0" fontId="7" fillId="0" borderId="0" xfId="0" applyNumberFormat="1" applyFont="1" applyFill="1" applyAlignment="1" applyProtection="1">
      <alignment horizontal="center"/>
    </xf>
    <xf numFmtId="169" fontId="54" fillId="0" borderId="46" xfId="0" applyNumberFormat="1" applyFont="1" applyBorder="1" applyProtection="1"/>
    <xf numFmtId="0" fontId="54" fillId="0" borderId="16" xfId="0" applyFont="1" applyBorder="1" applyProtection="1"/>
    <xf numFmtId="0" fontId="5" fillId="0" borderId="0" xfId="0" applyFont="1" applyProtection="1"/>
    <xf numFmtId="169" fontId="54" fillId="0" borderId="24" xfId="0" applyNumberFormat="1" applyFont="1" applyBorder="1" applyProtection="1"/>
    <xf numFmtId="169" fontId="54" fillId="0" borderId="25" xfId="0" applyNumberFormat="1" applyFont="1" applyBorder="1" applyProtection="1"/>
    <xf numFmtId="43" fontId="54" fillId="0" borderId="26" xfId="86" applyFont="1" applyBorder="1" applyProtection="1"/>
    <xf numFmtId="0" fontId="50" fillId="0" borderId="0" xfId="0" applyFont="1" applyFill="1" applyProtection="1"/>
    <xf numFmtId="0" fontId="0" fillId="0" borderId="0" xfId="0" applyAlignment="1" applyProtection="1">
      <alignment wrapText="1"/>
    </xf>
    <xf numFmtId="0" fontId="7" fillId="0" borderId="0" xfId="86" applyNumberFormat="1" applyFont="1" applyFill="1" applyAlignment="1" applyProtection="1"/>
    <xf numFmtId="168" fontId="15" fillId="0" borderId="17" xfId="191" applyFont="1" applyBorder="1" applyAlignment="1" applyProtection="1"/>
    <xf numFmtId="168" fontId="7" fillId="0" borderId="18" xfId="191" applyFont="1" applyBorder="1" applyAlignment="1" applyProtection="1"/>
    <xf numFmtId="3" fontId="7" fillId="0" borderId="19" xfId="191" applyNumberFormat="1" applyFont="1" applyBorder="1" applyAlignment="1" applyProtection="1"/>
    <xf numFmtId="0" fontId="7" fillId="27" borderId="0" xfId="191" applyNumberFormat="1" applyFont="1" applyFill="1" applyBorder="1" applyAlignment="1" applyProtection="1">
      <alignment horizontal="center"/>
    </xf>
    <xf numFmtId="166" fontId="7" fillId="0" borderId="0" xfId="191" applyNumberFormat="1" applyFont="1" applyAlignment="1" applyProtection="1">
      <alignment horizontal="center"/>
    </xf>
    <xf numFmtId="167" fontId="7" fillId="0" borderId="0" xfId="191" applyNumberFormat="1" applyFont="1" applyAlignment="1" applyProtection="1"/>
    <xf numFmtId="0" fontId="7" fillId="0" borderId="0" xfId="0" quotePrefix="1" applyFont="1" applyBorder="1" applyAlignment="1" applyProtection="1">
      <alignment horizontal="right"/>
    </xf>
    <xf numFmtId="170" fontId="0" fillId="0" borderId="0" xfId="0" applyNumberFormat="1" applyBorder="1" applyProtection="1"/>
    <xf numFmtId="170" fontId="0" fillId="0" borderId="14" xfId="0" applyNumberFormat="1" applyBorder="1" applyProtection="1"/>
    <xf numFmtId="0" fontId="0" fillId="0" borderId="0" xfId="0" quotePrefix="1" applyBorder="1" applyAlignment="1" applyProtection="1">
      <alignment horizontal="right"/>
    </xf>
    <xf numFmtId="170" fontId="0" fillId="0" borderId="6" xfId="0" applyNumberFormat="1" applyBorder="1" applyProtection="1"/>
    <xf numFmtId="167" fontId="48" fillId="0" borderId="0" xfId="191" applyNumberFormat="1" applyFont="1" applyAlignment="1" applyProtection="1"/>
    <xf numFmtId="0" fontId="0" fillId="0" borderId="0" xfId="0" applyBorder="1" applyAlignment="1" applyProtection="1">
      <alignment horizontal="right"/>
    </xf>
    <xf numFmtId="169" fontId="0" fillId="0" borderId="0" xfId="0" applyNumberFormat="1" applyBorder="1" applyProtection="1"/>
    <xf numFmtId="172" fontId="7" fillId="0" borderId="0" xfId="191" applyNumberFormat="1" applyFont="1" applyAlignment="1" applyProtection="1"/>
    <xf numFmtId="165" fontId="7" fillId="0" borderId="15" xfId="191" applyNumberFormat="1" applyFont="1" applyBorder="1" applyAlignment="1" applyProtection="1">
      <alignment horizontal="center"/>
    </xf>
    <xf numFmtId="0" fontId="7" fillId="0" borderId="6" xfId="191" applyNumberFormat="1" applyFont="1" applyBorder="1" applyAlignment="1" applyProtection="1">
      <alignment horizontal="center"/>
    </xf>
    <xf numFmtId="169" fontId="7" fillId="0" borderId="6" xfId="191" quotePrefix="1" applyNumberFormat="1" applyFont="1" applyBorder="1" applyAlignment="1" applyProtection="1">
      <alignment horizontal="center"/>
    </xf>
    <xf numFmtId="177" fontId="7" fillId="0" borderId="6" xfId="191" quotePrefix="1" applyNumberFormat="1" applyFont="1" applyBorder="1" applyAlignment="1" applyProtection="1">
      <alignment horizontal="center"/>
    </xf>
    <xf numFmtId="169" fontId="1" fillId="0" borderId="6" xfId="191" applyNumberFormat="1" applyFont="1" applyFill="1" applyBorder="1" applyAlignment="1" applyProtection="1">
      <alignment horizontal="center"/>
    </xf>
    <xf numFmtId="178" fontId="7" fillId="0" borderId="0" xfId="191" applyNumberFormat="1" applyFont="1" applyBorder="1" applyAlignment="1" applyProtection="1">
      <alignment horizontal="center"/>
    </xf>
    <xf numFmtId="169" fontId="7" fillId="0" borderId="0" xfId="191" applyNumberFormat="1" applyFont="1" applyBorder="1" applyAlignment="1" applyProtection="1">
      <alignment horizontal="center"/>
    </xf>
    <xf numFmtId="164" fontId="7" fillId="0" borderId="2" xfId="191" applyNumberFormat="1" applyFont="1" applyBorder="1" applyAlignment="1" applyProtection="1">
      <alignment horizontal="left"/>
    </xf>
    <xf numFmtId="0" fontId="7" fillId="0" borderId="2" xfId="0" applyFont="1" applyBorder="1" applyAlignment="1" applyProtection="1">
      <alignment horizontal="center"/>
    </xf>
    <xf numFmtId="0" fontId="1" fillId="0" borderId="0" xfId="191" applyNumberFormat="1" applyFont="1" applyFill="1" applyBorder="1" applyAlignment="1" applyProtection="1"/>
    <xf numFmtId="0" fontId="7" fillId="0" borderId="0" xfId="0" applyFont="1" applyBorder="1" applyAlignment="1" applyProtection="1">
      <alignment horizontal="center"/>
    </xf>
    <xf numFmtId="41" fontId="1" fillId="0" borderId="0" xfId="191" applyNumberFormat="1" applyFont="1" applyFill="1" applyBorder="1" applyAlignment="1" applyProtection="1"/>
    <xf numFmtId="3" fontId="14" fillId="0" borderId="2" xfId="191" applyNumberFormat="1" applyFont="1" applyFill="1" applyBorder="1" applyAlignment="1" applyProtection="1"/>
    <xf numFmtId="41" fontId="7" fillId="0" borderId="2" xfId="191" applyNumberFormat="1" applyFont="1" applyFill="1" applyBorder="1" applyAlignment="1" applyProtection="1"/>
    <xf numFmtId="41" fontId="48" fillId="0" borderId="11" xfId="191" applyNumberFormat="1" applyFont="1" applyFill="1" applyBorder="1" applyAlignment="1" applyProtection="1"/>
    <xf numFmtId="10" fontId="7" fillId="0" borderId="0" xfId="0" applyNumberFormat="1" applyFont="1" applyFill="1" applyBorder="1" applyProtection="1"/>
    <xf numFmtId="9" fontId="7" fillId="0" borderId="0" xfId="196" applyFont="1" applyFill="1" applyBorder="1" applyProtection="1"/>
    <xf numFmtId="169" fontId="7" fillId="0" borderId="0" xfId="86" applyNumberFormat="1" applyFont="1" applyFill="1" applyBorder="1" applyAlignment="1" applyProtection="1"/>
    <xf numFmtId="41" fontId="56" fillId="0" borderId="0" xfId="0" applyNumberFormat="1" applyFont="1" applyProtection="1"/>
    <xf numFmtId="10" fontId="0" fillId="0" borderId="0" xfId="0" applyNumberFormat="1" applyProtection="1"/>
    <xf numFmtId="164" fontId="1" fillId="0" borderId="0" xfId="196" applyNumberFormat="1" applyProtection="1"/>
    <xf numFmtId="169" fontId="7" fillId="0" borderId="0" xfId="87" applyNumberFormat="1" applyFont="1" applyFill="1" applyProtection="1"/>
    <xf numFmtId="169" fontId="7" fillId="0" borderId="11" xfId="87" applyNumberFormat="1" applyFont="1" applyFill="1" applyBorder="1" applyProtection="1"/>
    <xf numFmtId="0" fontId="7" fillId="0" borderId="38" xfId="0" quotePrefix="1" applyFont="1" applyFill="1" applyBorder="1" applyAlignment="1" applyProtection="1">
      <alignment horizontal="left"/>
    </xf>
    <xf numFmtId="0" fontId="7" fillId="0" borderId="19" xfId="0" applyFont="1" applyFill="1" applyBorder="1" applyProtection="1"/>
    <xf numFmtId="0" fontId="7" fillId="0" borderId="14" xfId="0" applyFont="1" applyFill="1" applyBorder="1" applyProtection="1"/>
    <xf numFmtId="10" fontId="54" fillId="0" borderId="39" xfId="0" applyNumberFormat="1" applyFont="1" applyFill="1" applyBorder="1" applyProtection="1"/>
    <xf numFmtId="169" fontId="54" fillId="0" borderId="39" xfId="87" applyNumberFormat="1" applyFont="1" applyFill="1" applyBorder="1" applyProtection="1"/>
    <xf numFmtId="0" fontId="7" fillId="0" borderId="49" xfId="0" applyFont="1" applyFill="1" applyBorder="1" applyProtection="1"/>
    <xf numFmtId="166" fontId="54" fillId="0" borderId="39" xfId="0" applyNumberFormat="1" applyFont="1" applyFill="1" applyBorder="1" applyProtection="1"/>
    <xf numFmtId="0" fontId="7" fillId="0" borderId="47" xfId="0" applyFont="1" applyFill="1" applyBorder="1" applyProtection="1"/>
    <xf numFmtId="41" fontId="54" fillId="0" borderId="13" xfId="0" applyNumberFormat="1" applyFont="1" applyFill="1" applyBorder="1" applyProtection="1"/>
    <xf numFmtId="3" fontId="7" fillId="0" borderId="43" xfId="0" applyNumberFormat="1" applyFont="1" applyFill="1" applyBorder="1" applyProtection="1"/>
    <xf numFmtId="0" fontId="7" fillId="0" borderId="20" xfId="0" applyFont="1" applyFill="1" applyBorder="1" applyProtection="1"/>
    <xf numFmtId="169" fontId="54" fillId="0" borderId="44" xfId="0" applyNumberFormat="1" applyFont="1" applyFill="1" applyBorder="1" applyProtection="1"/>
    <xf numFmtId="169" fontId="54" fillId="0" borderId="46" xfId="0" applyNumberFormat="1" applyFont="1" applyFill="1" applyBorder="1" applyProtection="1"/>
    <xf numFmtId="0" fontId="7" fillId="0" borderId="16" xfId="0" applyFont="1" applyFill="1" applyBorder="1" applyProtection="1"/>
    <xf numFmtId="169" fontId="54" fillId="0" borderId="25" xfId="86" applyNumberFormat="1" applyFont="1" applyBorder="1" applyProtection="1"/>
    <xf numFmtId="169" fontId="54" fillId="0" borderId="26" xfId="86" applyNumberFormat="1" applyFont="1" applyBorder="1" applyProtection="1"/>
    <xf numFmtId="0" fontId="50" fillId="0" borderId="0" xfId="0" quotePrefix="1" applyFont="1" applyAlignment="1" applyProtection="1">
      <alignment horizontal="left"/>
    </xf>
    <xf numFmtId="0" fontId="46" fillId="0" borderId="0" xfId="0" applyFont="1" applyAlignment="1" applyProtection="1">
      <alignment horizontal="right"/>
    </xf>
    <xf numFmtId="0" fontId="67" fillId="0" borderId="0" xfId="0" applyFont="1" applyFill="1" applyAlignment="1" applyProtection="1">
      <alignment horizontal="right"/>
    </xf>
    <xf numFmtId="0" fontId="50" fillId="0" borderId="0" xfId="0" applyFont="1" applyProtection="1"/>
    <xf numFmtId="0" fontId="46" fillId="0" borderId="0" xfId="0" quotePrefix="1" applyFont="1" applyAlignment="1" applyProtection="1">
      <alignment horizontal="right"/>
    </xf>
    <xf numFmtId="0" fontId="68" fillId="0" borderId="0" xfId="0" quotePrefix="1" applyFont="1" applyAlignment="1" applyProtection="1">
      <alignment horizontal="left"/>
    </xf>
    <xf numFmtId="0" fontId="39" fillId="0" borderId="0" xfId="0" applyFont="1" applyAlignment="1" applyProtection="1">
      <alignment horizontal="left"/>
    </xf>
    <xf numFmtId="0" fontId="51" fillId="26" borderId="0" xfId="86" applyNumberFormat="1" applyFont="1" applyFill="1" applyAlignment="1" applyProtection="1">
      <alignment horizontal="left"/>
    </xf>
    <xf numFmtId="0" fontId="39" fillId="0" borderId="17" xfId="0" applyFont="1" applyBorder="1" applyProtection="1"/>
    <xf numFmtId="0" fontId="39" fillId="0" borderId="18" xfId="0" applyFont="1" applyBorder="1" applyProtection="1"/>
    <xf numFmtId="0" fontId="7" fillId="0" borderId="18" xfId="0" applyFont="1" applyBorder="1" applyProtection="1"/>
    <xf numFmtId="169" fontId="39" fillId="0" borderId="19" xfId="86" applyNumberFormat="1" applyFont="1" applyBorder="1" applyProtection="1"/>
    <xf numFmtId="0" fontId="14" fillId="0" borderId="0" xfId="86" applyNumberFormat="1" applyFont="1" applyFill="1" applyAlignment="1" applyProtection="1">
      <alignment horizontal="left"/>
    </xf>
    <xf numFmtId="0" fontId="14" fillId="0" borderId="0" xfId="86" applyNumberFormat="1" applyFont="1" applyFill="1" applyBorder="1" applyAlignment="1" applyProtection="1">
      <alignment horizontal="left"/>
    </xf>
    <xf numFmtId="0" fontId="39" fillId="0" borderId="13" xfId="0" applyFont="1" applyBorder="1" applyProtection="1"/>
    <xf numFmtId="0" fontId="9" fillId="0" borderId="0" xfId="86" applyNumberFormat="1" applyFont="1" applyFill="1" applyBorder="1" applyAlignment="1" applyProtection="1">
      <alignment horizontal="left"/>
    </xf>
    <xf numFmtId="169" fontId="39" fillId="0" borderId="20" xfId="86" applyNumberFormat="1" applyFont="1" applyBorder="1" applyProtection="1"/>
    <xf numFmtId="0" fontId="39" fillId="0" borderId="0" xfId="0" applyFont="1" applyFill="1" applyProtection="1"/>
    <xf numFmtId="0" fontId="52" fillId="0" borderId="0" xfId="0" applyFont="1" applyFill="1" applyAlignment="1" applyProtection="1">
      <alignment horizontal="left"/>
    </xf>
    <xf numFmtId="169" fontId="39" fillId="0" borderId="15" xfId="86" applyNumberFormat="1" applyFont="1" applyBorder="1" applyProtection="1"/>
    <xf numFmtId="169" fontId="7" fillId="0" borderId="6" xfId="86" applyNumberFormat="1" applyFont="1" applyBorder="1" applyProtection="1"/>
    <xf numFmtId="169" fontId="7" fillId="0" borderId="16" xfId="86" applyNumberFormat="1" applyFont="1" applyBorder="1" applyProtection="1"/>
    <xf numFmtId="0" fontId="53" fillId="0" borderId="0" xfId="0" applyFont="1" applyFill="1" applyAlignment="1" applyProtection="1"/>
    <xf numFmtId="0" fontId="55" fillId="0" borderId="0" xfId="0" applyFont="1" applyFill="1" applyAlignment="1" applyProtection="1"/>
    <xf numFmtId="0" fontId="7" fillId="0" borderId="0" xfId="0" applyFont="1" applyFill="1" applyAlignment="1" applyProtection="1">
      <alignment wrapText="1"/>
    </xf>
    <xf numFmtId="0" fontId="7" fillId="0" borderId="0" xfId="0" applyFont="1" applyFill="1" applyBorder="1" applyAlignment="1" applyProtection="1">
      <alignment wrapText="1"/>
    </xf>
    <xf numFmtId="0" fontId="39" fillId="0" borderId="21" xfId="0" applyFont="1" applyFill="1" applyBorder="1" applyAlignment="1" applyProtection="1">
      <alignment horizontal="center"/>
    </xf>
    <xf numFmtId="0" fontId="61" fillId="27" borderId="22" xfId="0" applyFont="1" applyFill="1" applyBorder="1" applyAlignment="1" applyProtection="1">
      <alignment horizontal="center"/>
    </xf>
    <xf numFmtId="0" fontId="39" fillId="0" borderId="22" xfId="0" applyFont="1" applyFill="1" applyBorder="1" applyAlignment="1" applyProtection="1">
      <alignment horizontal="center"/>
    </xf>
    <xf numFmtId="0" fontId="39" fillId="0" borderId="23" xfId="0" applyFont="1" applyFill="1" applyBorder="1" applyAlignment="1" applyProtection="1">
      <alignment horizontal="center"/>
    </xf>
    <xf numFmtId="0" fontId="39" fillId="0" borderId="0" xfId="0" applyFont="1" applyFill="1" applyBorder="1" applyAlignment="1" applyProtection="1">
      <alignment horizontal="center"/>
    </xf>
    <xf numFmtId="0" fontId="0" fillId="0" borderId="0" xfId="0" applyBorder="1" applyAlignment="1" applyProtection="1"/>
    <xf numFmtId="0" fontId="7" fillId="0" borderId="13" xfId="0" applyFont="1" applyFill="1" applyBorder="1" applyAlignment="1" applyProtection="1"/>
    <xf numFmtId="169" fontId="54" fillId="26" borderId="14" xfId="86" applyNumberFormat="1" applyFont="1" applyFill="1" applyBorder="1" applyAlignment="1" applyProtection="1">
      <alignment horizontal="right"/>
    </xf>
    <xf numFmtId="0" fontId="39" fillId="0" borderId="19" xfId="0" applyFont="1" applyFill="1" applyBorder="1" applyAlignment="1" applyProtection="1">
      <alignment horizontal="center"/>
    </xf>
    <xf numFmtId="0" fontId="7" fillId="0" borderId="13" xfId="0" applyFont="1" applyFill="1" applyBorder="1" applyProtection="1"/>
    <xf numFmtId="0" fontId="54" fillId="26" borderId="14" xfId="0" applyFont="1" applyFill="1" applyBorder="1" applyAlignment="1" applyProtection="1">
      <alignment horizontal="right"/>
    </xf>
    <xf numFmtId="169" fontId="7" fillId="0" borderId="14" xfId="0" applyNumberFormat="1" applyFont="1" applyFill="1" applyBorder="1" applyAlignment="1" applyProtection="1">
      <alignment horizontal="right"/>
    </xf>
    <xf numFmtId="169" fontId="7" fillId="0" borderId="0" xfId="0" applyNumberFormat="1" applyFont="1" applyFill="1" applyBorder="1" applyAlignment="1" applyProtection="1">
      <alignment horizontal="right"/>
    </xf>
    <xf numFmtId="10" fontId="7" fillId="0" borderId="14" xfId="0" applyNumberFormat="1" applyFont="1" applyBorder="1" applyProtection="1"/>
    <xf numFmtId="169" fontId="7" fillId="0" borderId="14" xfId="86" applyNumberFormat="1" applyFont="1" applyBorder="1" applyProtection="1"/>
    <xf numFmtId="0" fontId="39" fillId="0" borderId="24" xfId="0" applyFont="1" applyBorder="1" applyAlignment="1" applyProtection="1">
      <alignment horizontal="center"/>
    </xf>
    <xf numFmtId="169" fontId="39" fillId="0" borderId="24" xfId="86" quotePrefix="1" applyNumberFormat="1" applyFont="1" applyBorder="1" applyAlignment="1" applyProtection="1">
      <alignment horizontal="center" wrapText="1"/>
    </xf>
    <xf numFmtId="169" fontId="39" fillId="0" borderId="24" xfId="86" applyNumberFormat="1" applyFont="1" applyBorder="1" applyAlignment="1" applyProtection="1">
      <alignment horizontal="center"/>
    </xf>
    <xf numFmtId="169" fontId="39" fillId="0" borderId="19" xfId="86" applyNumberFormat="1" applyFont="1" applyFill="1" applyBorder="1" applyAlignment="1" applyProtection="1">
      <alignment horizontal="center" wrapText="1"/>
    </xf>
    <xf numFmtId="169" fontId="39" fillId="0" borderId="19" xfId="86" applyNumberFormat="1" applyFont="1" applyBorder="1" applyAlignment="1" applyProtection="1">
      <alignment horizontal="center" wrapText="1"/>
    </xf>
    <xf numFmtId="0" fontId="39" fillId="0" borderId="25" xfId="0" applyFont="1" applyBorder="1" applyAlignment="1" applyProtection="1">
      <alignment horizontal="center"/>
    </xf>
    <xf numFmtId="169" fontId="39" fillId="0" borderId="24" xfId="86" applyNumberFormat="1" applyFont="1" applyFill="1" applyBorder="1" applyAlignment="1" applyProtection="1">
      <alignment horizontal="center" wrapText="1"/>
    </xf>
    <xf numFmtId="169" fontId="39" fillId="0" borderId="24" xfId="86" applyNumberFormat="1" applyFont="1" applyBorder="1" applyAlignment="1" applyProtection="1">
      <alignment horizontal="center" wrapText="1"/>
    </xf>
    <xf numFmtId="0" fontId="39" fillId="0" borderId="26" xfId="0" applyFont="1" applyBorder="1" applyAlignment="1" applyProtection="1">
      <alignment horizontal="center"/>
    </xf>
    <xf numFmtId="0" fontId="39" fillId="0" borderId="26" xfId="0" applyFont="1" applyBorder="1" applyAlignment="1" applyProtection="1">
      <alignment horizontal="center" wrapText="1"/>
    </xf>
    <xf numFmtId="169" fontId="39" fillId="0" borderId="16" xfId="86" applyNumberFormat="1" applyFont="1" applyFill="1" applyBorder="1" applyAlignment="1" applyProtection="1">
      <alignment horizontal="center"/>
    </xf>
    <xf numFmtId="169" fontId="39" fillId="0" borderId="16" xfId="86" applyNumberFormat="1" applyFont="1" applyBorder="1" applyAlignment="1" applyProtection="1">
      <alignment horizontal="center"/>
    </xf>
    <xf numFmtId="0" fontId="39" fillId="0" borderId="26" xfId="0" applyFont="1" applyFill="1" applyBorder="1" applyAlignment="1" applyProtection="1">
      <alignment horizontal="center"/>
    </xf>
    <xf numFmtId="0" fontId="39" fillId="0" borderId="25" xfId="0" applyFont="1" applyFill="1" applyBorder="1" applyAlignment="1" applyProtection="1">
      <alignment horizontal="center"/>
    </xf>
    <xf numFmtId="169" fontId="39" fillId="0" borderId="26" xfId="86" applyNumberFormat="1" applyFont="1" applyBorder="1" applyAlignment="1" applyProtection="1">
      <alignment horizontal="center"/>
    </xf>
    <xf numFmtId="169" fontId="39" fillId="0" borderId="26" xfId="86" applyNumberFormat="1" applyFont="1" applyFill="1" applyBorder="1" applyAlignment="1" applyProtection="1">
      <alignment horizontal="center"/>
    </xf>
    <xf numFmtId="169" fontId="39" fillId="0" borderId="15" xfId="86" applyNumberFormat="1" applyFont="1" applyFill="1" applyBorder="1" applyAlignment="1" applyProtection="1">
      <alignment horizontal="center"/>
    </xf>
    <xf numFmtId="0" fontId="7" fillId="0" borderId="25" xfId="0" applyNumberFormat="1" applyFont="1" applyBorder="1" applyAlignment="1" applyProtection="1">
      <alignment horizontal="center"/>
    </xf>
    <xf numFmtId="169" fontId="78" fillId="26" borderId="0" xfId="0" applyNumberFormat="1" applyFont="1" applyFill="1" applyBorder="1" applyProtection="1"/>
    <xf numFmtId="169" fontId="78" fillId="26" borderId="24" xfId="86" applyNumberFormat="1" applyFont="1" applyFill="1" applyBorder="1" applyProtection="1"/>
    <xf numFmtId="169" fontId="78" fillId="26" borderId="25" xfId="86" applyNumberFormat="1" applyFont="1" applyFill="1" applyBorder="1" applyProtection="1"/>
    <xf numFmtId="169" fontId="78" fillId="26" borderId="14" xfId="86" applyNumberFormat="1" applyFont="1" applyFill="1" applyBorder="1" applyProtection="1"/>
    <xf numFmtId="170" fontId="7" fillId="0" borderId="14" xfId="0" applyNumberFormat="1" applyFont="1" applyBorder="1" applyProtection="1"/>
    <xf numFmtId="170" fontId="54" fillId="0" borderId="24" xfId="0" applyNumberFormat="1" applyFont="1" applyFill="1" applyBorder="1" applyProtection="1"/>
    <xf numFmtId="170" fontId="7" fillId="0" borderId="24" xfId="0" applyNumberFormat="1" applyFont="1" applyFill="1" applyBorder="1" applyProtection="1"/>
    <xf numFmtId="170" fontId="7" fillId="0" borderId="24" xfId="0" applyNumberFormat="1" applyFont="1" applyBorder="1" applyProtection="1"/>
    <xf numFmtId="170" fontId="7" fillId="0" borderId="25" xfId="0" applyNumberFormat="1" applyFont="1" applyBorder="1" applyProtection="1"/>
    <xf numFmtId="169" fontId="78" fillId="26" borderId="25" xfId="0" applyNumberFormat="1" applyFont="1" applyFill="1" applyBorder="1" applyProtection="1"/>
    <xf numFmtId="170" fontId="54" fillId="0" borderId="25" xfId="0" applyNumberFormat="1" applyFont="1" applyFill="1" applyBorder="1" applyProtection="1"/>
    <xf numFmtId="170" fontId="7" fillId="0" borderId="25" xfId="0" applyNumberFormat="1" applyFont="1" applyFill="1" applyBorder="1" applyProtection="1"/>
    <xf numFmtId="169" fontId="7" fillId="0" borderId="25" xfId="0" applyNumberFormat="1" applyFont="1" applyFill="1" applyBorder="1" applyProtection="1"/>
    <xf numFmtId="169" fontId="1" fillId="0" borderId="25" xfId="86" applyNumberFormat="1" applyBorder="1" applyProtection="1"/>
    <xf numFmtId="169" fontId="7" fillId="0" borderId="25" xfId="0" applyNumberFormat="1" applyFont="1" applyBorder="1" applyProtection="1"/>
    <xf numFmtId="169" fontId="7" fillId="0" borderId="25" xfId="86" applyNumberFormat="1" applyFont="1" applyBorder="1" applyProtection="1"/>
    <xf numFmtId="170" fontId="54" fillId="26" borderId="25" xfId="0" applyNumberFormat="1" applyFont="1" applyFill="1" applyBorder="1" applyProtection="1"/>
    <xf numFmtId="0" fontId="7" fillId="0" borderId="42" xfId="0" applyNumberFormat="1" applyFont="1" applyBorder="1" applyAlignment="1" applyProtection="1">
      <alignment horizontal="center"/>
    </xf>
    <xf numFmtId="169" fontId="7" fillId="0" borderId="42" xfId="0" applyNumberFormat="1" applyFont="1" applyFill="1" applyBorder="1" applyProtection="1"/>
    <xf numFmtId="169" fontId="1" fillId="0" borderId="42" xfId="86" applyNumberFormat="1" applyBorder="1" applyProtection="1"/>
    <xf numFmtId="169" fontId="7" fillId="0" borderId="42" xfId="0" applyNumberFormat="1" applyFont="1" applyBorder="1" applyProtection="1"/>
    <xf numFmtId="169" fontId="7" fillId="0" borderId="42" xfId="86" applyNumberFormat="1" applyFont="1" applyBorder="1" applyProtection="1"/>
    <xf numFmtId="169" fontId="7" fillId="0" borderId="43" xfId="86" applyNumberFormat="1" applyFont="1" applyBorder="1" applyProtection="1"/>
    <xf numFmtId="170" fontId="7" fillId="0" borderId="43" xfId="0" applyNumberFormat="1" applyFont="1" applyBorder="1" applyProtection="1"/>
    <xf numFmtId="170" fontId="54" fillId="26" borderId="42" xfId="0" applyNumberFormat="1" applyFont="1" applyFill="1" applyBorder="1" applyProtection="1"/>
    <xf numFmtId="170" fontId="7" fillId="0" borderId="42" xfId="0" applyNumberFormat="1" applyFont="1" applyBorder="1" applyProtection="1"/>
    <xf numFmtId="0" fontId="7" fillId="0" borderId="2" xfId="0" applyFont="1" applyBorder="1" applyProtection="1"/>
    <xf numFmtId="169" fontId="7" fillId="0" borderId="25" xfId="86" applyNumberFormat="1" applyFont="1" applyFill="1" applyBorder="1" applyProtection="1"/>
    <xf numFmtId="0" fontId="7" fillId="0" borderId="26" xfId="0" applyNumberFormat="1" applyFont="1" applyBorder="1" applyAlignment="1" applyProtection="1">
      <alignment horizontal="center"/>
    </xf>
    <xf numFmtId="169" fontId="7" fillId="0" borderId="26" xfId="0" applyNumberFormat="1" applyFont="1" applyFill="1" applyBorder="1" applyProtection="1"/>
    <xf numFmtId="169" fontId="1" fillId="0" borderId="26" xfId="86" applyNumberFormat="1" applyBorder="1" applyProtection="1"/>
    <xf numFmtId="169" fontId="7" fillId="0" borderId="26" xfId="0" applyNumberFormat="1" applyFont="1" applyBorder="1" applyProtection="1"/>
    <xf numFmtId="169" fontId="7" fillId="0" borderId="26" xfId="86" applyNumberFormat="1" applyFont="1" applyFill="1" applyBorder="1" applyProtection="1"/>
    <xf numFmtId="170" fontId="7" fillId="0" borderId="16" xfId="0" applyNumberFormat="1" applyFont="1" applyBorder="1" applyProtection="1"/>
    <xf numFmtId="170" fontId="54" fillId="26" borderId="26" xfId="0" applyNumberFormat="1" applyFont="1" applyFill="1" applyBorder="1" applyProtection="1"/>
    <xf numFmtId="170" fontId="7" fillId="0" borderId="26" xfId="0" applyNumberFormat="1" applyFont="1" applyBorder="1" applyProtection="1"/>
    <xf numFmtId="0" fontId="53" fillId="0" borderId="0" xfId="0" applyFont="1" applyFill="1" applyProtection="1"/>
    <xf numFmtId="0" fontId="46" fillId="0" borderId="0" xfId="0" applyFont="1" applyFill="1" applyAlignment="1" applyProtection="1">
      <alignment horizontal="right"/>
    </xf>
    <xf numFmtId="0" fontId="69" fillId="0" borderId="0" xfId="0" applyFont="1" applyProtection="1"/>
    <xf numFmtId="0" fontId="7" fillId="0" borderId="0" xfId="0" applyFont="1" applyAlignment="1" applyProtection="1">
      <alignment horizontal="left"/>
    </xf>
    <xf numFmtId="0" fontId="46" fillId="0" borderId="0" xfId="0" quotePrefix="1" applyFont="1" applyAlignment="1" applyProtection="1">
      <alignment horizontal="center"/>
    </xf>
    <xf numFmtId="0" fontId="9" fillId="0" borderId="0" xfId="0" applyFont="1" applyFill="1" applyProtection="1"/>
    <xf numFmtId="0" fontId="39" fillId="0" borderId="28" xfId="0" applyFont="1" applyFill="1" applyBorder="1" applyAlignment="1" applyProtection="1">
      <alignment horizontal="center"/>
    </xf>
    <xf numFmtId="168" fontId="7" fillId="0" borderId="29" xfId="191" applyFont="1" applyBorder="1" applyAlignment="1" applyProtection="1">
      <alignment horizontal="center"/>
    </xf>
    <xf numFmtId="168" fontId="7" fillId="0" borderId="29" xfId="191" quotePrefix="1" applyFont="1" applyBorder="1" applyAlignment="1" applyProtection="1">
      <alignment horizontal="center"/>
    </xf>
    <xf numFmtId="3" fontId="7" fillId="0" borderId="30" xfId="191" applyNumberFormat="1" applyFont="1" applyBorder="1" applyAlignment="1" applyProtection="1">
      <alignment horizontal="center"/>
    </xf>
    <xf numFmtId="0" fontId="55" fillId="0" borderId="24" xfId="0" applyFont="1" applyBorder="1" applyProtection="1"/>
    <xf numFmtId="169" fontId="7" fillId="0" borderId="13" xfId="86" quotePrefix="1" applyNumberFormat="1" applyFont="1" applyBorder="1" applyAlignment="1" applyProtection="1">
      <alignment horizontal="right"/>
    </xf>
    <xf numFmtId="169" fontId="39" fillId="0" borderId="0" xfId="86" applyNumberFormat="1" applyFont="1" applyBorder="1" applyProtection="1"/>
    <xf numFmtId="169" fontId="7" fillId="0" borderId="14" xfId="0" applyNumberFormat="1" applyFont="1" applyBorder="1" applyProtection="1"/>
    <xf numFmtId="0" fontId="57" fillId="0" borderId="31" xfId="86" applyNumberFormat="1" applyFont="1" applyFill="1" applyBorder="1" applyAlignment="1" applyProtection="1">
      <alignment horizontal="left"/>
    </xf>
    <xf numFmtId="169" fontId="7" fillId="0" borderId="32" xfId="86" quotePrefix="1" applyNumberFormat="1" applyFont="1" applyBorder="1" applyAlignment="1" applyProtection="1">
      <alignment horizontal="right"/>
    </xf>
    <xf numFmtId="169" fontId="39" fillId="0" borderId="11" xfId="86" applyNumberFormat="1" applyFont="1" applyBorder="1" applyProtection="1"/>
    <xf numFmtId="169" fontId="7" fillId="0" borderId="20" xfId="0" applyNumberFormat="1" applyFont="1" applyBorder="1" applyProtection="1"/>
    <xf numFmtId="0" fontId="52" fillId="0" borderId="0" xfId="0" applyFont="1" applyAlignment="1" applyProtection="1">
      <alignment horizontal="left"/>
    </xf>
    <xf numFmtId="169" fontId="55" fillId="0" borderId="26" xfId="86" applyNumberFormat="1" applyFont="1" applyBorder="1" applyProtection="1"/>
    <xf numFmtId="0" fontId="7" fillId="0" borderId="15" xfId="0" quotePrefix="1" applyFont="1" applyBorder="1" applyAlignment="1" applyProtection="1">
      <alignment horizontal="right"/>
    </xf>
    <xf numFmtId="169" fontId="39" fillId="0" borderId="6" xfId="86" applyNumberFormat="1" applyFont="1" applyFill="1" applyBorder="1" applyAlignment="1" applyProtection="1">
      <alignment horizontal="left"/>
    </xf>
    <xf numFmtId="169" fontId="39" fillId="0" borderId="16" xfId="86" applyNumberFormat="1" applyFont="1" applyFill="1" applyBorder="1" applyAlignment="1" applyProtection="1">
      <alignment horizontal="left"/>
    </xf>
    <xf numFmtId="169" fontId="55" fillId="0" borderId="0" xfId="0" applyNumberFormat="1" applyFont="1" applyAlignment="1" applyProtection="1">
      <alignment horizontal="left"/>
    </xf>
    <xf numFmtId="0" fontId="7" fillId="0" borderId="21" xfId="0" applyFont="1" applyFill="1" applyBorder="1" applyAlignment="1" applyProtection="1">
      <alignment horizontal="center"/>
    </xf>
    <xf numFmtId="0" fontId="39" fillId="0" borderId="22" xfId="0" applyFont="1" applyFill="1" applyBorder="1" applyAlignment="1" applyProtection="1"/>
    <xf numFmtId="0" fontId="0" fillId="0" borderId="22" xfId="0" applyBorder="1" applyAlignment="1" applyProtection="1"/>
    <xf numFmtId="0" fontId="0" fillId="0" borderId="23" xfId="0" applyBorder="1" applyAlignment="1" applyProtection="1"/>
    <xf numFmtId="0" fontId="0" fillId="0" borderId="0" xfId="0" applyFill="1" applyBorder="1" applyAlignment="1" applyProtection="1"/>
    <xf numFmtId="0" fontId="7" fillId="0" borderId="14" xfId="0" applyFont="1" applyFill="1" applyBorder="1" applyAlignment="1" applyProtection="1">
      <alignment horizontal="right"/>
    </xf>
    <xf numFmtId="0" fontId="7" fillId="0" borderId="16" xfId="0" applyFont="1" applyFill="1" applyBorder="1" applyAlignment="1" applyProtection="1">
      <alignment horizontal="right"/>
    </xf>
    <xf numFmtId="0" fontId="7" fillId="0" borderId="15" xfId="0" applyFont="1" applyBorder="1" applyProtection="1"/>
    <xf numFmtId="0" fontId="7" fillId="0" borderId="6" xfId="0" applyFont="1" applyBorder="1" applyAlignment="1" applyProtection="1">
      <alignment horizontal="center"/>
    </xf>
    <xf numFmtId="0" fontId="0" fillId="0" borderId="6" xfId="0" applyBorder="1" applyProtection="1"/>
    <xf numFmtId="0" fontId="39" fillId="0" borderId="24" xfId="0" applyFont="1" applyBorder="1" applyAlignment="1" applyProtection="1">
      <alignment horizontal="center" wrapText="1"/>
    </xf>
    <xf numFmtId="169" fontId="39" fillId="0" borderId="0" xfId="86" quotePrefix="1" applyNumberFormat="1" applyFont="1" applyBorder="1" applyAlignment="1" applyProtection="1">
      <alignment horizontal="center" wrapText="1"/>
    </xf>
    <xf numFmtId="0" fontId="39" fillId="0" borderId="25" xfId="0" applyFont="1" applyBorder="1" applyAlignment="1" applyProtection="1">
      <alignment horizontal="center" wrapText="1"/>
    </xf>
    <xf numFmtId="0" fontId="39" fillId="0" borderId="6" xfId="0" applyFont="1" applyBorder="1" applyAlignment="1" applyProtection="1">
      <alignment horizontal="center"/>
    </xf>
    <xf numFmtId="169" fontId="39" fillId="26" borderId="26" xfId="86" applyNumberFormat="1" applyFont="1" applyFill="1" applyBorder="1" applyAlignment="1" applyProtection="1">
      <alignment horizontal="center"/>
    </xf>
    <xf numFmtId="169" fontId="78" fillId="26" borderId="24" xfId="0" applyNumberFormat="1" applyFont="1" applyFill="1" applyBorder="1" applyProtection="1"/>
    <xf numFmtId="169" fontId="7" fillId="0" borderId="14" xfId="86" applyNumberFormat="1" applyFont="1" applyFill="1" applyBorder="1" applyProtection="1"/>
    <xf numFmtId="169" fontId="7" fillId="0" borderId="16" xfId="86" applyNumberFormat="1" applyFont="1" applyFill="1" applyBorder="1" applyProtection="1"/>
    <xf numFmtId="0" fontId="55" fillId="0" borderId="0" xfId="0" applyFont="1" applyProtection="1"/>
    <xf numFmtId="0" fontId="58" fillId="0" borderId="0" xfId="0" applyFont="1" applyFill="1" applyProtection="1"/>
    <xf numFmtId="0" fontId="46" fillId="0" borderId="0" xfId="0" applyFont="1" applyAlignment="1" applyProtection="1">
      <alignment horizontal="center"/>
    </xf>
    <xf numFmtId="0" fontId="68" fillId="0" borderId="0" xfId="0" applyFont="1" applyProtection="1"/>
    <xf numFmtId="169" fontId="7" fillId="0" borderId="0" xfId="0" applyNumberFormat="1" applyFont="1" applyFill="1" applyBorder="1" applyProtection="1"/>
    <xf numFmtId="169" fontId="39" fillId="26" borderId="16" xfId="86" applyNumberFormat="1" applyFont="1" applyFill="1" applyBorder="1" applyAlignment="1" applyProtection="1">
      <alignment horizontal="center"/>
    </xf>
    <xf numFmtId="0" fontId="7" fillId="0" borderId="25" xfId="0" applyNumberFormat="1" applyFont="1" applyFill="1" applyBorder="1" applyAlignment="1" applyProtection="1">
      <alignment horizontal="center"/>
    </xf>
    <xf numFmtId="169" fontId="7" fillId="0" borderId="13" xfId="0" applyNumberFormat="1" applyFont="1" applyFill="1" applyBorder="1" applyProtection="1"/>
    <xf numFmtId="169" fontId="7" fillId="0" borderId="14" xfId="86" applyNumberFormat="1" applyFont="1" applyFill="1" applyBorder="1" applyAlignment="1" applyProtection="1">
      <alignment horizontal="right"/>
    </xf>
    <xf numFmtId="170" fontId="46" fillId="0" borderId="0" xfId="0" quotePrefix="1" applyNumberFormat="1" applyFont="1" applyBorder="1" applyAlignment="1" applyProtection="1">
      <alignment horizontal="center"/>
    </xf>
    <xf numFmtId="170" fontId="7" fillId="0" borderId="14" xfId="0" applyNumberFormat="1" applyFont="1" applyFill="1" applyBorder="1" applyProtection="1"/>
    <xf numFmtId="170" fontId="7" fillId="0" borderId="0" xfId="0" applyNumberFormat="1" applyFont="1" applyFill="1" applyBorder="1" applyProtection="1"/>
    <xf numFmtId="170" fontId="7" fillId="0" borderId="19" xfId="0" applyNumberFormat="1" applyFont="1" applyBorder="1" applyProtection="1"/>
    <xf numFmtId="170" fontId="54" fillId="0" borderId="17" xfId="0" applyNumberFormat="1" applyFont="1" applyFill="1" applyBorder="1" applyProtection="1"/>
    <xf numFmtId="170" fontId="7" fillId="0" borderId="13" xfId="0" applyNumberFormat="1" applyFont="1" applyBorder="1" applyProtection="1"/>
    <xf numFmtId="170" fontId="54" fillId="0" borderId="13" xfId="0" applyNumberFormat="1" applyFont="1" applyFill="1" applyBorder="1" applyProtection="1"/>
    <xf numFmtId="0" fontId="81" fillId="0" borderId="0" xfId="191" applyNumberFormat="1" applyFont="1" applyFill="1" applyBorder="1" applyAlignment="1" applyProtection="1"/>
    <xf numFmtId="0" fontId="82" fillId="0" borderId="0" xfId="0" applyFont="1" applyAlignment="1" applyProtection="1">
      <alignment horizontal="left"/>
    </xf>
    <xf numFmtId="170" fontId="54" fillId="0" borderId="34" xfId="0" applyNumberFormat="1" applyFont="1" applyFill="1" applyBorder="1" applyProtection="1"/>
    <xf numFmtId="170" fontId="7" fillId="0" borderId="40" xfId="0" applyNumberFormat="1" applyFont="1" applyFill="1" applyBorder="1" applyProtection="1"/>
    <xf numFmtId="170" fontId="7" fillId="0" borderId="34" xfId="0" applyNumberFormat="1" applyFont="1" applyBorder="1" applyProtection="1"/>
    <xf numFmtId="170" fontId="7" fillId="0" borderId="40" xfId="0" applyNumberFormat="1" applyFont="1" applyBorder="1" applyProtection="1"/>
    <xf numFmtId="170" fontId="7" fillId="0" borderId="10" xfId="0" applyNumberFormat="1" applyFont="1" applyBorder="1" applyProtection="1"/>
    <xf numFmtId="169" fontId="1" fillId="0" borderId="0" xfId="86" applyNumberFormat="1" applyBorder="1" applyProtection="1"/>
    <xf numFmtId="169" fontId="78" fillId="26" borderId="14" xfId="86" applyNumberFormat="1" applyFont="1" applyFill="1" applyBorder="1" applyAlignment="1" applyProtection="1">
      <alignment horizontal="right"/>
    </xf>
    <xf numFmtId="169" fontId="39" fillId="0" borderId="31" xfId="86" applyNumberFormat="1" applyFont="1" applyBorder="1" applyAlignment="1" applyProtection="1">
      <alignment horizontal="center"/>
    </xf>
    <xf numFmtId="170" fontId="54" fillId="0" borderId="33" xfId="0" applyNumberFormat="1" applyFont="1" applyFill="1" applyBorder="1" applyProtection="1"/>
    <xf numFmtId="170" fontId="54" fillId="0" borderId="42" xfId="0" applyNumberFormat="1" applyFont="1" applyFill="1" applyBorder="1" applyProtection="1"/>
    <xf numFmtId="170" fontId="7" fillId="0" borderId="2" xfId="0" applyNumberFormat="1" applyFont="1" applyBorder="1" applyProtection="1"/>
    <xf numFmtId="170" fontId="7" fillId="0" borderId="33" xfId="0" applyNumberFormat="1" applyFont="1" applyBorder="1" applyProtection="1"/>
    <xf numFmtId="0" fontId="55" fillId="0" borderId="0" xfId="0" quotePrefix="1" applyFont="1" applyFill="1" applyAlignment="1" applyProtection="1">
      <alignment horizontal="left"/>
    </xf>
    <xf numFmtId="169" fontId="7" fillId="0" borderId="24" xfId="0" applyNumberFormat="1" applyFont="1" applyBorder="1" applyProtection="1"/>
    <xf numFmtId="170" fontId="54" fillId="26" borderId="24" xfId="0" applyNumberFormat="1" applyFont="1" applyFill="1" applyBorder="1" applyProtection="1"/>
    <xf numFmtId="170" fontId="7" fillId="0" borderId="17" xfId="0" applyNumberFormat="1" applyFont="1" applyFill="1" applyBorder="1" applyProtection="1"/>
    <xf numFmtId="170" fontId="54" fillId="0" borderId="18" xfId="0" applyNumberFormat="1" applyFont="1" applyFill="1" applyBorder="1" applyProtection="1"/>
    <xf numFmtId="170" fontId="7" fillId="0" borderId="13" xfId="0" applyNumberFormat="1" applyFont="1" applyFill="1" applyBorder="1" applyProtection="1"/>
    <xf numFmtId="170" fontId="54" fillId="0" borderId="0" xfId="0" applyNumberFormat="1" applyFont="1" applyFill="1" applyBorder="1" applyProtection="1"/>
    <xf numFmtId="169" fontId="7" fillId="0" borderId="26" xfId="86" applyNumberFormat="1" applyFont="1" applyBorder="1" applyProtection="1"/>
    <xf numFmtId="169" fontId="80" fillId="26" borderId="0" xfId="0" applyNumberFormat="1" applyFont="1" applyFill="1" applyBorder="1" applyProtection="1"/>
    <xf numFmtId="169" fontId="80" fillId="26" borderId="25" xfId="86" applyNumberFormat="1" applyFont="1" applyFill="1" applyBorder="1" applyProtection="1"/>
    <xf numFmtId="169" fontId="80" fillId="26" borderId="25" xfId="0" applyNumberFormat="1" applyFont="1" applyFill="1" applyBorder="1" applyProtection="1"/>
    <xf numFmtId="169" fontId="80" fillId="26" borderId="24" xfId="0" applyNumberFormat="1" applyFont="1" applyFill="1" applyBorder="1" applyProtection="1"/>
    <xf numFmtId="170" fontId="80" fillId="26" borderId="25" xfId="0" applyNumberFormat="1" applyFont="1" applyFill="1" applyBorder="1" applyProtection="1"/>
    <xf numFmtId="169" fontId="80" fillId="26" borderId="14" xfId="86" applyNumberFormat="1" applyFont="1" applyFill="1" applyBorder="1" applyProtection="1"/>
    <xf numFmtId="169" fontId="7" fillId="0" borderId="15" xfId="0" applyNumberFormat="1" applyFont="1" applyBorder="1" applyProtection="1"/>
    <xf numFmtId="0" fontId="55" fillId="0" borderId="0" xfId="0" quotePrefix="1" applyFont="1" applyAlignment="1" applyProtection="1">
      <alignment horizontal="left"/>
    </xf>
    <xf numFmtId="169" fontId="80" fillId="26" borderId="24" xfId="86" applyNumberFormat="1" applyFont="1" applyFill="1" applyBorder="1" applyProtection="1"/>
    <xf numFmtId="0" fontId="79" fillId="27" borderId="22" xfId="0" applyFont="1" applyFill="1" applyBorder="1" applyAlignment="1" applyProtection="1"/>
    <xf numFmtId="169" fontId="80" fillId="26" borderId="14" xfId="86" applyNumberFormat="1" applyFont="1" applyFill="1" applyBorder="1" applyAlignment="1" applyProtection="1">
      <alignment horizontal="right"/>
    </xf>
    <xf numFmtId="169" fontId="54" fillId="0" borderId="16" xfId="86" applyNumberFormat="1" applyFont="1" applyFill="1" applyBorder="1" applyProtection="1"/>
    <xf numFmtId="0" fontId="7" fillId="0" borderId="0" xfId="0" applyFont="1" applyFill="1" applyAlignment="1" applyProtection="1"/>
    <xf numFmtId="169" fontId="7" fillId="0" borderId="0" xfId="0" applyNumberFormat="1" applyFont="1" applyAlignment="1" applyProtection="1">
      <alignment horizontal="left"/>
    </xf>
    <xf numFmtId="169" fontId="54" fillId="0" borderId="25" xfId="86" applyNumberFormat="1" applyFont="1" applyFill="1" applyBorder="1" applyProtection="1"/>
    <xf numFmtId="169" fontId="54" fillId="0" borderId="14" xfId="86" applyNumberFormat="1" applyFont="1" applyFill="1" applyBorder="1" applyProtection="1"/>
    <xf numFmtId="169" fontId="7" fillId="0" borderId="25" xfId="87" applyNumberFormat="1" applyBorder="1" applyProtection="1"/>
    <xf numFmtId="169" fontId="7" fillId="0" borderId="14" xfId="87" applyNumberFormat="1" applyFont="1" applyFill="1" applyBorder="1" applyProtection="1"/>
    <xf numFmtId="169" fontId="7" fillId="0" borderId="26" xfId="87" applyNumberFormat="1" applyBorder="1" applyProtection="1"/>
    <xf numFmtId="169" fontId="7" fillId="0" borderId="16" xfId="87" applyNumberFormat="1" applyFont="1" applyFill="1" applyBorder="1" applyProtection="1"/>
    <xf numFmtId="170" fontId="78" fillId="0" borderId="14" xfId="0" applyNumberFormat="1" applyFont="1" applyFill="1" applyBorder="1" applyProtection="1"/>
    <xf numFmtId="0" fontId="81" fillId="0" borderId="0" xfId="0" applyFont="1" applyAlignment="1" applyProtection="1">
      <alignment horizontal="left"/>
    </xf>
    <xf numFmtId="0" fontId="52" fillId="26" borderId="0" xfId="0" applyFont="1" applyFill="1" applyAlignment="1" applyProtection="1">
      <alignment horizontal="left"/>
    </xf>
    <xf numFmtId="169" fontId="7" fillId="0" borderId="6" xfId="0" applyNumberFormat="1" applyFont="1" applyBorder="1" applyProtection="1"/>
    <xf numFmtId="0" fontId="78" fillId="26" borderId="14" xfId="86" applyNumberFormat="1" applyFont="1" applyFill="1" applyBorder="1" applyAlignment="1" applyProtection="1">
      <alignment horizontal="right"/>
    </xf>
    <xf numFmtId="0" fontId="54" fillId="26" borderId="20" xfId="0" applyFont="1" applyFill="1" applyBorder="1" applyAlignment="1" applyProtection="1">
      <alignment horizontal="right"/>
    </xf>
    <xf numFmtId="169" fontId="1" fillId="26" borderId="0" xfId="0" applyNumberFormat="1" applyFont="1" applyFill="1" applyBorder="1"/>
    <xf numFmtId="169" fontId="1" fillId="26" borderId="24" xfId="86" applyNumberFormat="1" applyFont="1" applyFill="1" applyBorder="1"/>
    <xf numFmtId="169" fontId="1" fillId="26" borderId="25" xfId="0" applyNumberFormat="1" applyFont="1" applyFill="1" applyBorder="1"/>
    <xf numFmtId="169" fontId="1" fillId="26" borderId="14" xfId="86" applyNumberFormat="1" applyFont="1" applyFill="1" applyBorder="1"/>
    <xf numFmtId="0" fontId="0" fillId="0" borderId="0" xfId="0" applyAlignment="1" applyProtection="1">
      <alignment wrapText="1"/>
    </xf>
    <xf numFmtId="0" fontId="7" fillId="0" borderId="0" xfId="0" applyFont="1" applyFill="1" applyBorder="1" applyAlignment="1" applyProtection="1">
      <alignment wrapText="1"/>
    </xf>
    <xf numFmtId="169" fontId="1" fillId="0" borderId="25" xfId="86" applyNumberFormat="1" applyFont="1" applyBorder="1" applyProtection="1"/>
    <xf numFmtId="169" fontId="1" fillId="26" borderId="25" xfId="0" applyNumberFormat="1" applyFont="1" applyFill="1" applyBorder="1" applyProtection="1"/>
    <xf numFmtId="169" fontId="1" fillId="26" borderId="25" xfId="86" applyNumberFormat="1" applyFont="1" applyFill="1" applyBorder="1" applyProtection="1"/>
    <xf numFmtId="169" fontId="1" fillId="26" borderId="14" xfId="86" applyNumberFormat="1" applyFont="1" applyFill="1" applyBorder="1" applyProtection="1"/>
    <xf numFmtId="169" fontId="54" fillId="26" borderId="25" xfId="0" applyNumberFormat="1" applyFont="1" applyFill="1" applyBorder="1"/>
    <xf numFmtId="169" fontId="54" fillId="26" borderId="25" xfId="86" applyNumberFormat="1" applyFont="1" applyFill="1" applyBorder="1" applyProtection="1"/>
    <xf numFmtId="169" fontId="54" fillId="26" borderId="14" xfId="86" applyNumberFormat="1" applyFont="1" applyFill="1" applyBorder="1" applyProtection="1"/>
    <xf numFmtId="0" fontId="1" fillId="0" borderId="0" xfId="0" applyFont="1"/>
    <xf numFmtId="0" fontId="1" fillId="0" borderId="0" xfId="0" applyFont="1" applyAlignment="1">
      <alignment horizontal="center"/>
    </xf>
    <xf numFmtId="10" fontId="1" fillId="0" borderId="0" xfId="0" applyNumberFormat="1" applyFont="1"/>
    <xf numFmtId="169" fontId="1" fillId="0" borderId="0" xfId="86" applyNumberFormat="1" applyFont="1"/>
    <xf numFmtId="0" fontId="67" fillId="0" borderId="0" xfId="0" applyFont="1" applyAlignment="1">
      <alignment horizontal="right"/>
    </xf>
    <xf numFmtId="0" fontId="47" fillId="0" borderId="0" xfId="0" applyFont="1"/>
    <xf numFmtId="0" fontId="6" fillId="0" borderId="0" xfId="0" applyFont="1"/>
    <xf numFmtId="169" fontId="1" fillId="0" borderId="0" xfId="86" applyNumberFormat="1" applyFont="1" applyBorder="1"/>
    <xf numFmtId="0" fontId="14" fillId="0" borderId="0" xfId="191" applyNumberFormat="1" applyFont="1" applyProtection="1">
      <protection locked="0"/>
    </xf>
    <xf numFmtId="0" fontId="1" fillId="0" borderId="18" xfId="0" applyFont="1" applyBorder="1"/>
    <xf numFmtId="0" fontId="39" fillId="0" borderId="0" xfId="0" applyFont="1"/>
    <xf numFmtId="169" fontId="1" fillId="0" borderId="6" xfId="86" applyNumberFormat="1" applyFont="1" applyBorder="1"/>
    <xf numFmtId="169" fontId="1" fillId="0" borderId="16" xfId="86" applyNumberFormat="1" applyFont="1" applyBorder="1"/>
    <xf numFmtId="0" fontId="53" fillId="0" borderId="0" xfId="0" applyFont="1"/>
    <xf numFmtId="0" fontId="1" fillId="0" borderId="0" xfId="0" applyFont="1" applyAlignment="1">
      <alignment wrapText="1"/>
    </xf>
    <xf numFmtId="0" fontId="39" fillId="0" borderId="21" xfId="0" applyFont="1" applyBorder="1" applyAlignment="1">
      <alignment horizontal="center"/>
    </xf>
    <xf numFmtId="0" fontId="1" fillId="0" borderId="22" xfId="0" applyFont="1" applyBorder="1" applyAlignment="1">
      <alignment horizontal="left"/>
    </xf>
    <xf numFmtId="0" fontId="39" fillId="0" borderId="22" xfId="0" applyFont="1" applyBorder="1" applyAlignment="1">
      <alignment horizontal="center"/>
    </xf>
    <xf numFmtId="0" fontId="39" fillId="0" borderId="23" xfId="0" applyFont="1" applyBorder="1" applyAlignment="1">
      <alignment horizontal="center"/>
    </xf>
    <xf numFmtId="0" fontId="39" fillId="0" borderId="0" xfId="0" applyFont="1" applyAlignment="1">
      <alignment horizontal="center"/>
    </xf>
    <xf numFmtId="0" fontId="1" fillId="0" borderId="13" xfId="0" applyFont="1" applyBorder="1"/>
    <xf numFmtId="0" fontId="39" fillId="0" borderId="19" xfId="0" applyFont="1" applyBorder="1" applyAlignment="1">
      <alignment horizontal="center"/>
    </xf>
    <xf numFmtId="169" fontId="1" fillId="0" borderId="14" xfId="0" applyNumberFormat="1" applyFont="1" applyBorder="1" applyAlignment="1">
      <alignment horizontal="right"/>
    </xf>
    <xf numFmtId="169" fontId="1" fillId="0" borderId="0" xfId="0" applyNumberFormat="1" applyFont="1" applyAlignment="1">
      <alignment horizontal="right"/>
    </xf>
    <xf numFmtId="10" fontId="1" fillId="0" borderId="14" xfId="0" applyNumberFormat="1" applyFont="1" applyBorder="1"/>
    <xf numFmtId="169" fontId="1" fillId="0" borderId="14" xfId="86" applyNumberFormat="1" applyFont="1" applyBorder="1"/>
    <xf numFmtId="0" fontId="1" fillId="0" borderId="25" xfId="0" applyFont="1" applyBorder="1" applyAlignment="1">
      <alignment horizontal="center"/>
    </xf>
    <xf numFmtId="169" fontId="1" fillId="0" borderId="0" xfId="0" applyNumberFormat="1" applyFont="1"/>
    <xf numFmtId="169" fontId="1" fillId="0" borderId="24" xfId="86" applyNumberFormat="1" applyFont="1" applyBorder="1"/>
    <xf numFmtId="169" fontId="1" fillId="0" borderId="25" xfId="0" applyNumberFormat="1" applyFont="1" applyBorder="1"/>
    <xf numFmtId="170" fontId="1" fillId="0" borderId="14" xfId="0" applyNumberFormat="1" applyFont="1" applyBorder="1"/>
    <xf numFmtId="170" fontId="54" fillId="0" borderId="24" xfId="0" applyNumberFormat="1" applyFont="1" applyBorder="1"/>
    <xf numFmtId="170" fontId="1" fillId="0" borderId="24" xfId="0" applyNumberFormat="1" applyFont="1" applyBorder="1"/>
    <xf numFmtId="170" fontId="1" fillId="0" borderId="25" xfId="0" applyNumberFormat="1" applyFont="1" applyBorder="1"/>
    <xf numFmtId="169" fontId="1" fillId="0" borderId="25" xfId="86" applyNumberFormat="1" applyFont="1" applyBorder="1"/>
    <xf numFmtId="169" fontId="1" fillId="0" borderId="25" xfId="86" applyNumberFormat="1" applyFont="1" applyFill="1" applyBorder="1"/>
    <xf numFmtId="0" fontId="1" fillId="0" borderId="26" xfId="0" applyFont="1" applyBorder="1" applyAlignment="1">
      <alignment horizontal="center"/>
    </xf>
    <xf numFmtId="169" fontId="1" fillId="0" borderId="26" xfId="0" applyNumberFormat="1" applyFont="1" applyBorder="1"/>
    <xf numFmtId="169" fontId="1" fillId="0" borderId="26" xfId="86" applyNumberFormat="1" applyFont="1" applyFill="1" applyBorder="1"/>
    <xf numFmtId="170" fontId="1" fillId="0" borderId="16" xfId="0" applyNumberFormat="1" applyFont="1" applyBorder="1"/>
    <xf numFmtId="170" fontId="1" fillId="0" borderId="26" xfId="0" applyNumberFormat="1" applyFont="1" applyBorder="1"/>
    <xf numFmtId="170" fontId="1" fillId="0" borderId="0" xfId="0" applyNumberFormat="1" applyFont="1"/>
    <xf numFmtId="0" fontId="1" fillId="0" borderId="0" xfId="0" applyFont="1" applyAlignment="1">
      <alignment horizontal="left"/>
    </xf>
    <xf numFmtId="0" fontId="9" fillId="0" borderId="0" xfId="0" applyFont="1"/>
    <xf numFmtId="0" fontId="39" fillId="0" borderId="28" xfId="0" applyFont="1" applyBorder="1" applyAlignment="1">
      <alignment horizontal="center"/>
    </xf>
    <xf numFmtId="168" fontId="1" fillId="0" borderId="29" xfId="191" applyFont="1" applyBorder="1" applyAlignment="1" applyProtection="1">
      <alignment horizontal="center"/>
      <protection locked="0"/>
    </xf>
    <xf numFmtId="168" fontId="1" fillId="0" borderId="29" xfId="191" quotePrefix="1" applyFont="1" applyBorder="1" applyAlignment="1" applyProtection="1">
      <alignment horizontal="center"/>
      <protection locked="0"/>
    </xf>
    <xf numFmtId="3" fontId="1" fillId="0" borderId="30" xfId="191" applyNumberFormat="1" applyFont="1" applyBorder="1" applyAlignment="1" applyProtection="1">
      <alignment horizontal="center"/>
      <protection locked="0"/>
    </xf>
    <xf numFmtId="169" fontId="1" fillId="0" borderId="13" xfId="86" quotePrefix="1" applyNumberFormat="1" applyFont="1" applyBorder="1" applyAlignment="1">
      <alignment horizontal="right"/>
    </xf>
    <xf numFmtId="169" fontId="1" fillId="0" borderId="14" xfId="0" applyNumberFormat="1" applyFont="1" applyBorder="1"/>
    <xf numFmtId="169" fontId="1" fillId="0" borderId="32" xfId="86" quotePrefix="1" applyNumberFormat="1" applyFont="1" applyBorder="1" applyAlignment="1">
      <alignment horizontal="right"/>
    </xf>
    <xf numFmtId="169" fontId="1" fillId="0" borderId="20" xfId="0" applyNumberFormat="1" applyFont="1" applyBorder="1"/>
    <xf numFmtId="0" fontId="1" fillId="0" borderId="15" xfId="0" quotePrefix="1" applyFont="1" applyBorder="1" applyAlignment="1">
      <alignment horizontal="right"/>
    </xf>
    <xf numFmtId="0" fontId="1" fillId="0" borderId="21" xfId="0" applyFont="1" applyBorder="1" applyAlignment="1">
      <alignment horizontal="center"/>
    </xf>
    <xf numFmtId="0" fontId="39" fillId="0" borderId="22" xfId="0" applyFont="1" applyBorder="1"/>
    <xf numFmtId="0" fontId="0" fillId="0" borderId="22" xfId="0" applyBorder="1"/>
    <xf numFmtId="169" fontId="1" fillId="0" borderId="14" xfId="86" applyNumberFormat="1" applyFont="1" applyFill="1" applyBorder="1" applyAlignment="1">
      <alignment horizontal="right"/>
    </xf>
    <xf numFmtId="0" fontId="1" fillId="0" borderId="14" xfId="0" applyFont="1" applyBorder="1" applyAlignment="1">
      <alignment horizontal="right"/>
    </xf>
    <xf numFmtId="0" fontId="1" fillId="0" borderId="16" xfId="0" applyFont="1" applyBorder="1" applyAlignment="1">
      <alignment horizontal="right"/>
    </xf>
    <xf numFmtId="0" fontId="1" fillId="0" borderId="15" xfId="0" applyFont="1" applyBorder="1"/>
    <xf numFmtId="0" fontId="1" fillId="0" borderId="6" xfId="0" applyFont="1" applyBorder="1" applyAlignment="1">
      <alignment horizontal="center"/>
    </xf>
    <xf numFmtId="169" fontId="1" fillId="0" borderId="24" xfId="0" applyNumberFormat="1" applyFont="1" applyBorder="1"/>
    <xf numFmtId="170" fontId="54" fillId="0" borderId="25" xfId="0" applyNumberFormat="1" applyFont="1" applyBorder="1"/>
    <xf numFmtId="169" fontId="1" fillId="0" borderId="6" xfId="0" applyNumberFormat="1" applyFont="1" applyBorder="1"/>
    <xf numFmtId="0" fontId="58" fillId="0" borderId="0" xfId="0" applyFont="1"/>
    <xf numFmtId="170" fontId="46" fillId="0" borderId="0" xfId="0" quotePrefix="1" applyNumberFormat="1" applyFont="1" applyAlignment="1">
      <alignment horizontal="center"/>
    </xf>
    <xf numFmtId="169" fontId="52" fillId="26" borderId="2" xfId="86" applyNumberFormat="1" applyFont="1" applyFill="1" applyBorder="1" applyAlignment="1" applyProtection="1">
      <alignment vertical="center"/>
    </xf>
    <xf numFmtId="169" fontId="54" fillId="26" borderId="0" xfId="86" applyNumberFormat="1" applyFont="1" applyFill="1" applyAlignment="1" applyProtection="1">
      <alignment vertical="center"/>
    </xf>
    <xf numFmtId="0" fontId="7" fillId="28" borderId="14" xfId="0" applyFont="1" applyFill="1" applyBorder="1" applyAlignment="1" applyProtection="1">
      <alignment horizontal="right"/>
    </xf>
    <xf numFmtId="37" fontId="1" fillId="26" borderId="25" xfId="0" applyNumberFormat="1" applyFont="1" applyFill="1" applyBorder="1"/>
    <xf numFmtId="0" fontId="0" fillId="0" borderId="0" xfId="0" applyAlignment="1">
      <alignment horizontal="center" wrapText="1"/>
    </xf>
    <xf numFmtId="37" fontId="0" fillId="0" borderId="0" xfId="0" applyNumberFormat="1"/>
    <xf numFmtId="0" fontId="39" fillId="0" borderId="11" xfId="0" applyFont="1" applyBorder="1" applyAlignment="1" applyProtection="1">
      <alignment horizontal="center"/>
    </xf>
    <xf numFmtId="0" fontId="65" fillId="0" borderId="0" xfId="0" applyFont="1" applyFill="1" applyBorder="1" applyAlignment="1" applyProtection="1">
      <alignment horizontal="center" wrapText="1"/>
    </xf>
    <xf numFmtId="0" fontId="0" fillId="0" borderId="0" xfId="0" applyAlignment="1" applyProtection="1">
      <alignment horizontal="left" vertical="top" wrapText="1"/>
    </xf>
    <xf numFmtId="168" fontId="7" fillId="0" borderId="17" xfId="191" applyFont="1" applyBorder="1" applyAlignment="1" applyProtection="1">
      <alignment wrapText="1"/>
    </xf>
    <xf numFmtId="0" fontId="7" fillId="0" borderId="18" xfId="0" applyFont="1" applyBorder="1" applyAlignment="1" applyProtection="1">
      <alignment wrapText="1"/>
    </xf>
    <xf numFmtId="0" fontId="7" fillId="0" borderId="19" xfId="0" applyFont="1" applyBorder="1" applyAlignment="1" applyProtection="1">
      <alignment wrapText="1"/>
    </xf>
    <xf numFmtId="0" fontId="7" fillId="0" borderId="13" xfId="0" applyFont="1" applyBorder="1" applyAlignment="1" applyProtection="1">
      <alignment wrapText="1"/>
    </xf>
    <xf numFmtId="0" fontId="7" fillId="0" borderId="0" xfId="0" applyFont="1" applyBorder="1" applyAlignment="1" applyProtection="1">
      <alignment wrapText="1"/>
    </xf>
    <xf numFmtId="0" fontId="7" fillId="0" borderId="14" xfId="0" applyFont="1" applyBorder="1" applyAlignment="1" applyProtection="1">
      <alignment wrapText="1"/>
    </xf>
    <xf numFmtId="0" fontId="6" fillId="0" borderId="0" xfId="0" applyFont="1" applyFill="1" applyAlignment="1" applyProtection="1">
      <alignment wrapText="1"/>
    </xf>
    <xf numFmtId="0" fontId="0" fillId="0" borderId="0" xfId="0" applyAlignment="1" applyProtection="1">
      <alignment wrapText="1"/>
    </xf>
    <xf numFmtId="0" fontId="7" fillId="0" borderId="0" xfId="0" applyFont="1" applyFill="1" applyBorder="1" applyAlignment="1" applyProtection="1">
      <alignment wrapText="1"/>
    </xf>
    <xf numFmtId="49" fontId="46" fillId="0" borderId="0" xfId="0" applyNumberFormat="1" applyFont="1" applyAlignment="1" applyProtection="1">
      <alignment horizontal="center"/>
    </xf>
    <xf numFmtId="0" fontId="46" fillId="0" borderId="0" xfId="0" applyFont="1" applyAlignment="1" applyProtection="1">
      <alignment horizontal="center"/>
    </xf>
    <xf numFmtId="0" fontId="6" fillId="0" borderId="0" xfId="178" quotePrefix="1" applyFont="1" applyBorder="1" applyAlignment="1" applyProtection="1">
      <alignment horizontal="center"/>
    </xf>
    <xf numFmtId="0" fontId="46" fillId="0" borderId="0" xfId="178" applyFont="1" applyBorder="1" applyAlignment="1" applyProtection="1">
      <alignment horizontal="center"/>
    </xf>
    <xf numFmtId="3" fontId="6" fillId="0" borderId="0" xfId="0" applyNumberFormat="1" applyFont="1" applyAlignment="1" applyProtection="1">
      <alignment horizontal="center"/>
    </xf>
    <xf numFmtId="0" fontId="46" fillId="0" borderId="0" xfId="0" applyNumberFormat="1" applyFont="1" applyAlignment="1" applyProtection="1">
      <alignment horizontal="center"/>
    </xf>
    <xf numFmtId="49" fontId="6" fillId="0" borderId="0" xfId="0" applyNumberFormat="1" applyFont="1" applyAlignment="1" applyProtection="1">
      <alignment horizontal="center"/>
    </xf>
    <xf numFmtId="0" fontId="6" fillId="0" borderId="0" xfId="0" applyNumberFormat="1" applyFont="1" applyAlignment="1" applyProtection="1">
      <alignment horizontal="center"/>
    </xf>
  </cellXfs>
  <cellStyles count="26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0" xfId="263" xr:uid="{00000000-0005-0000-0000-000056000000}"/>
    <cellStyle name="Comma 2" xfId="87" xr:uid="{00000000-0005-0000-0000-000057000000}"/>
    <cellStyle name="Comma 2 2" xfId="88" xr:uid="{00000000-0005-0000-0000-000058000000}"/>
    <cellStyle name="Comma 3" xfId="89" xr:uid="{00000000-0005-0000-0000-000059000000}"/>
    <cellStyle name="Comma 3 2" xfId="90" xr:uid="{00000000-0005-0000-0000-00005A000000}"/>
    <cellStyle name="Comma 3 3" xfId="91" xr:uid="{00000000-0005-0000-0000-00005B000000}"/>
    <cellStyle name="Comma 3 3 2" xfId="92" xr:uid="{00000000-0005-0000-0000-00005C000000}"/>
    <cellStyle name="Comma 3 4" xfId="93" xr:uid="{00000000-0005-0000-0000-00005D000000}"/>
    <cellStyle name="Comma 3 5" xfId="94" xr:uid="{00000000-0005-0000-0000-00005E000000}"/>
    <cellStyle name="Comma 4" xfId="95" xr:uid="{00000000-0005-0000-0000-00005F000000}"/>
    <cellStyle name="Comma 4 2" xfId="96" xr:uid="{00000000-0005-0000-0000-000060000000}"/>
    <cellStyle name="Comma 4 3" xfId="97" xr:uid="{00000000-0005-0000-0000-000061000000}"/>
    <cellStyle name="Comma 5" xfId="98" xr:uid="{00000000-0005-0000-0000-000062000000}"/>
    <cellStyle name="Comma 5 2" xfId="99" xr:uid="{00000000-0005-0000-0000-000063000000}"/>
    <cellStyle name="Comma 6" xfId="100" xr:uid="{00000000-0005-0000-0000-000064000000}"/>
    <cellStyle name="Comma 7" xfId="101" xr:uid="{00000000-0005-0000-0000-000065000000}"/>
    <cellStyle name="Comma0" xfId="102" xr:uid="{00000000-0005-0000-0000-000066000000}"/>
    <cellStyle name="Comma0 2" xfId="103" xr:uid="{00000000-0005-0000-0000-000067000000}"/>
    <cellStyle name="Comma0 2 2" xfId="104" xr:uid="{00000000-0005-0000-0000-000068000000}"/>
    <cellStyle name="Comma0 3" xfId="105" xr:uid="{00000000-0005-0000-0000-000069000000}"/>
    <cellStyle name="Currency" xfId="106" builtinId="4"/>
    <cellStyle name="Currency 2" xfId="107" xr:uid="{00000000-0005-0000-0000-00006B000000}"/>
    <cellStyle name="Currency 2 2" xfId="108" xr:uid="{00000000-0005-0000-0000-00006C000000}"/>
    <cellStyle name="Currency 2 2 2" xfId="109" xr:uid="{00000000-0005-0000-0000-00006D000000}"/>
    <cellStyle name="Currency 3" xfId="110" xr:uid="{00000000-0005-0000-0000-00006E000000}"/>
    <cellStyle name="Currency 3 2" xfId="111" xr:uid="{00000000-0005-0000-0000-00006F000000}"/>
    <cellStyle name="Currency 3 3" xfId="112" xr:uid="{00000000-0005-0000-0000-000070000000}"/>
    <cellStyle name="Currency 3 3 2" xfId="113" xr:uid="{00000000-0005-0000-0000-000071000000}"/>
    <cellStyle name="Currency 3 4" xfId="114" xr:uid="{00000000-0005-0000-0000-000072000000}"/>
    <cellStyle name="Currency 3 5" xfId="115" xr:uid="{00000000-0005-0000-0000-000073000000}"/>
    <cellStyle name="Currency 4" xfId="116" xr:uid="{00000000-0005-0000-0000-000074000000}"/>
    <cellStyle name="Currency 4 2" xfId="117" xr:uid="{00000000-0005-0000-0000-000075000000}"/>
    <cellStyle name="Currency 4 2 2" xfId="118" xr:uid="{00000000-0005-0000-0000-000076000000}"/>
    <cellStyle name="Currency 5" xfId="119" xr:uid="{00000000-0005-0000-0000-000077000000}"/>
    <cellStyle name="Currency 5 2" xfId="120" xr:uid="{00000000-0005-0000-0000-000078000000}"/>
    <cellStyle name="Currency 6" xfId="121" xr:uid="{00000000-0005-0000-0000-000079000000}"/>
    <cellStyle name="Currency 6 2" xfId="122" xr:uid="{00000000-0005-0000-0000-00007A000000}"/>
    <cellStyle name="Currency 6 3" xfId="123" xr:uid="{00000000-0005-0000-0000-00007B000000}"/>
    <cellStyle name="Currency 6 4" xfId="124" xr:uid="{00000000-0005-0000-0000-00007C000000}"/>
    <cellStyle name="Currency0" xfId="125" xr:uid="{00000000-0005-0000-0000-00007D000000}"/>
    <cellStyle name="Currency0 2" xfId="126" xr:uid="{00000000-0005-0000-0000-00007E000000}"/>
    <cellStyle name="Currency0 2 2" xfId="127" xr:uid="{00000000-0005-0000-0000-00007F000000}"/>
    <cellStyle name="Currency0 3" xfId="128" xr:uid="{00000000-0005-0000-0000-000080000000}"/>
    <cellStyle name="Date" xfId="129" xr:uid="{00000000-0005-0000-0000-000081000000}"/>
    <cellStyle name="Date 2" xfId="130" xr:uid="{00000000-0005-0000-0000-000082000000}"/>
    <cellStyle name="Date 2 2" xfId="131" xr:uid="{00000000-0005-0000-0000-000083000000}"/>
    <cellStyle name="Date 3" xfId="132" xr:uid="{00000000-0005-0000-0000-000084000000}"/>
    <cellStyle name="Explanatory Text" xfId="133" builtinId="53" customBuiltin="1"/>
    <cellStyle name="Explanatory Text 2" xfId="134" xr:uid="{00000000-0005-0000-0000-000086000000}"/>
    <cellStyle name="Fixed" xfId="135" xr:uid="{00000000-0005-0000-0000-000087000000}"/>
    <cellStyle name="Fixed 2" xfId="136" xr:uid="{00000000-0005-0000-0000-000088000000}"/>
    <cellStyle name="Fixed 2 2" xfId="137" xr:uid="{00000000-0005-0000-0000-000089000000}"/>
    <cellStyle name="Fixed 3" xfId="138" xr:uid="{00000000-0005-0000-0000-00008A000000}"/>
    <cellStyle name="Good" xfId="139" builtinId="26" customBuiltin="1"/>
    <cellStyle name="Good 2" xfId="140" xr:uid="{00000000-0005-0000-0000-00008C000000}"/>
    <cellStyle name="Heading 1" xfId="141" builtinId="16" customBuiltin="1"/>
    <cellStyle name="Heading 1 2" xfId="142" xr:uid="{00000000-0005-0000-0000-00008E000000}"/>
    <cellStyle name="Heading 1 3" xfId="143" xr:uid="{00000000-0005-0000-0000-00008F000000}"/>
    <cellStyle name="Heading 1 3 2" xfId="144" xr:uid="{00000000-0005-0000-0000-000090000000}"/>
    <cellStyle name="Heading 2" xfId="145" builtinId="17" customBuiltin="1"/>
    <cellStyle name="Heading 2 2" xfId="146" xr:uid="{00000000-0005-0000-0000-000092000000}"/>
    <cellStyle name="Heading 2 3" xfId="147" xr:uid="{00000000-0005-0000-0000-000093000000}"/>
    <cellStyle name="Heading 2 3 2" xfId="148" xr:uid="{00000000-0005-0000-0000-000094000000}"/>
    <cellStyle name="Heading 3" xfId="149" builtinId="18" customBuiltin="1"/>
    <cellStyle name="Heading 3 2" xfId="150" xr:uid="{00000000-0005-0000-0000-000096000000}"/>
    <cellStyle name="Heading 4" xfId="151" builtinId="19" customBuiltin="1"/>
    <cellStyle name="Heading 4 2" xfId="152" xr:uid="{00000000-0005-0000-0000-000098000000}"/>
    <cellStyle name="Heading1" xfId="153" xr:uid="{00000000-0005-0000-0000-000099000000}"/>
    <cellStyle name="Heading2" xfId="154" xr:uid="{00000000-0005-0000-0000-00009A000000}"/>
    <cellStyle name="Input" xfId="155" builtinId="20" customBuiltin="1"/>
    <cellStyle name="Input 2" xfId="156" xr:uid="{00000000-0005-0000-0000-00009C000000}"/>
    <cellStyle name="Linked Cell" xfId="157" builtinId="24" customBuiltin="1"/>
    <cellStyle name="Linked Cell 2" xfId="158" xr:uid="{00000000-0005-0000-0000-00009E000000}"/>
    <cellStyle name="M" xfId="159" xr:uid="{00000000-0005-0000-0000-00009F000000}"/>
    <cellStyle name="M 2" xfId="160" xr:uid="{00000000-0005-0000-0000-0000A0000000}"/>
    <cellStyle name="M 2 2" xfId="161" xr:uid="{00000000-0005-0000-0000-0000A1000000}"/>
    <cellStyle name="M 2 2 2" xfId="162" xr:uid="{00000000-0005-0000-0000-0000A2000000}"/>
    <cellStyle name="M 3" xfId="163" xr:uid="{00000000-0005-0000-0000-0000A3000000}"/>
    <cellStyle name="M 3 2" xfId="164" xr:uid="{00000000-0005-0000-0000-0000A4000000}"/>
    <cellStyle name="M 3 2 2" xfId="165" xr:uid="{00000000-0005-0000-0000-0000A5000000}"/>
    <cellStyle name="M 4" xfId="166" xr:uid="{00000000-0005-0000-0000-0000A6000000}"/>
    <cellStyle name="M 5" xfId="167" xr:uid="{00000000-0005-0000-0000-0000A7000000}"/>
    <cellStyle name="M 5 2" xfId="168" xr:uid="{00000000-0005-0000-0000-0000A8000000}"/>
    <cellStyle name="M 6" xfId="169" xr:uid="{00000000-0005-0000-0000-0000A9000000}"/>
    <cellStyle name="M 6 2" xfId="170" xr:uid="{00000000-0005-0000-0000-0000AA000000}"/>
    <cellStyle name="M 7" xfId="171" xr:uid="{00000000-0005-0000-0000-0000AB000000}"/>
    <cellStyle name="Neutral" xfId="172" builtinId="28" customBuiltin="1"/>
    <cellStyle name="Neutral 2" xfId="173" xr:uid="{00000000-0005-0000-0000-0000AD000000}"/>
    <cellStyle name="Normal" xfId="0" builtinId="0"/>
    <cellStyle name="Normal 12" xfId="174" xr:uid="{00000000-0005-0000-0000-0000AF000000}"/>
    <cellStyle name="Normal 2" xfId="175" xr:uid="{00000000-0005-0000-0000-0000B0000000}"/>
    <cellStyle name="Normal 2 2" xfId="176" xr:uid="{00000000-0005-0000-0000-0000B1000000}"/>
    <cellStyle name="Normal 3" xfId="177" xr:uid="{00000000-0005-0000-0000-0000B2000000}"/>
    <cellStyle name="Normal 3 2" xfId="178" xr:uid="{00000000-0005-0000-0000-0000B3000000}"/>
    <cellStyle name="Normal 3 3" xfId="179" xr:uid="{00000000-0005-0000-0000-0000B4000000}"/>
    <cellStyle name="Normal 3_OPCo Period I PJM  Formula Rate" xfId="180" xr:uid="{00000000-0005-0000-0000-0000B5000000}"/>
    <cellStyle name="Normal 4" xfId="181" xr:uid="{00000000-0005-0000-0000-0000B6000000}"/>
    <cellStyle name="Normal 4 2" xfId="182" xr:uid="{00000000-0005-0000-0000-0000B7000000}"/>
    <cellStyle name="Normal 4 3" xfId="183" xr:uid="{00000000-0005-0000-0000-0000B8000000}"/>
    <cellStyle name="Normal 4 3 2" xfId="184" xr:uid="{00000000-0005-0000-0000-0000B9000000}"/>
    <cellStyle name="Normal 4 4" xfId="185" xr:uid="{00000000-0005-0000-0000-0000BA000000}"/>
    <cellStyle name="Normal 4 5" xfId="186" xr:uid="{00000000-0005-0000-0000-0000BB000000}"/>
    <cellStyle name="Normal 4 5 2" xfId="187" xr:uid="{00000000-0005-0000-0000-0000BC000000}"/>
    <cellStyle name="Normal 4 5 3" xfId="188" xr:uid="{00000000-0005-0000-0000-0000BD000000}"/>
    <cellStyle name="Normal 4_PBOP Exhibit 1" xfId="189" xr:uid="{00000000-0005-0000-0000-0000BE000000}"/>
    <cellStyle name="Normal 5" xfId="190" xr:uid="{00000000-0005-0000-0000-0000BF000000}"/>
    <cellStyle name="Normal_FN1 Ratebase Draft SPP template (6-11-04) v2" xfId="191" xr:uid="{00000000-0005-0000-0000-0000C0000000}"/>
    <cellStyle name="Note" xfId="192" builtinId="10" customBuiltin="1"/>
    <cellStyle name="Note 2" xfId="193" xr:uid="{00000000-0005-0000-0000-0000C2000000}"/>
    <cellStyle name="Output" xfId="194" builtinId="21" customBuiltin="1"/>
    <cellStyle name="Output 2" xfId="195" xr:uid="{00000000-0005-0000-0000-0000C4000000}"/>
    <cellStyle name="Percent" xfId="196" builtinId="5"/>
    <cellStyle name="Percent 2" xfId="197" xr:uid="{00000000-0005-0000-0000-0000C6000000}"/>
    <cellStyle name="Percent 2 2" xfId="198" xr:uid="{00000000-0005-0000-0000-0000C7000000}"/>
    <cellStyle name="Percent 2 2 2" xfId="199" xr:uid="{00000000-0005-0000-0000-0000C8000000}"/>
    <cellStyle name="Percent 3" xfId="200" xr:uid="{00000000-0005-0000-0000-0000C9000000}"/>
    <cellStyle name="Percent 3 2" xfId="201" xr:uid="{00000000-0005-0000-0000-0000CA000000}"/>
    <cellStyle name="Percent 3 3" xfId="202" xr:uid="{00000000-0005-0000-0000-0000CB000000}"/>
    <cellStyle name="Percent 3 3 2" xfId="203" xr:uid="{00000000-0005-0000-0000-0000CC000000}"/>
    <cellStyle name="Percent 3 4" xfId="204" xr:uid="{00000000-0005-0000-0000-0000CD000000}"/>
    <cellStyle name="Percent 3 5" xfId="205" xr:uid="{00000000-0005-0000-0000-0000CE000000}"/>
    <cellStyle name="Percent 4" xfId="206" xr:uid="{00000000-0005-0000-0000-0000CF000000}"/>
    <cellStyle name="Percent 4 2" xfId="207" xr:uid="{00000000-0005-0000-0000-0000D0000000}"/>
    <cellStyle name="Percent 4 3" xfId="208" xr:uid="{00000000-0005-0000-0000-0000D1000000}"/>
    <cellStyle name="Percent 5" xfId="209" xr:uid="{00000000-0005-0000-0000-0000D2000000}"/>
    <cellStyle name="Percent 5 2" xfId="210" xr:uid="{00000000-0005-0000-0000-0000D3000000}"/>
    <cellStyle name="Percent 5 3" xfId="211" xr:uid="{00000000-0005-0000-0000-0000D4000000}"/>
    <cellStyle name="Percent 6" xfId="212" xr:uid="{00000000-0005-0000-0000-0000D5000000}"/>
    <cellStyle name="Percent 7" xfId="213" xr:uid="{00000000-0005-0000-0000-0000D6000000}"/>
    <cellStyle name="PSChar" xfId="214" xr:uid="{00000000-0005-0000-0000-0000D7000000}"/>
    <cellStyle name="PSChar 2" xfId="215" xr:uid="{00000000-0005-0000-0000-0000D8000000}"/>
    <cellStyle name="PSChar 2 2" xfId="216" xr:uid="{00000000-0005-0000-0000-0000D9000000}"/>
    <cellStyle name="PSDate" xfId="217" xr:uid="{00000000-0005-0000-0000-0000DA000000}"/>
    <cellStyle name="PSDec" xfId="218" xr:uid="{00000000-0005-0000-0000-0000DB000000}"/>
    <cellStyle name="PSdesc" xfId="219" xr:uid="{00000000-0005-0000-0000-0000DC000000}"/>
    <cellStyle name="PSHeading" xfId="220" xr:uid="{00000000-0005-0000-0000-0000DD000000}"/>
    <cellStyle name="PSInt" xfId="221" xr:uid="{00000000-0005-0000-0000-0000DE000000}"/>
    <cellStyle name="PSSpacer" xfId="222" xr:uid="{00000000-0005-0000-0000-0000DF000000}"/>
    <cellStyle name="PStest" xfId="223" xr:uid="{00000000-0005-0000-0000-0000E0000000}"/>
    <cellStyle name="R00A" xfId="224" xr:uid="{00000000-0005-0000-0000-0000E1000000}"/>
    <cellStyle name="R00B" xfId="225" xr:uid="{00000000-0005-0000-0000-0000E2000000}"/>
    <cellStyle name="R00L" xfId="226" xr:uid="{00000000-0005-0000-0000-0000E3000000}"/>
    <cellStyle name="R01A" xfId="227" xr:uid="{00000000-0005-0000-0000-0000E4000000}"/>
    <cellStyle name="R01B" xfId="228" xr:uid="{00000000-0005-0000-0000-0000E5000000}"/>
    <cellStyle name="R01H" xfId="229" xr:uid="{00000000-0005-0000-0000-0000E6000000}"/>
    <cellStyle name="R01L" xfId="230" xr:uid="{00000000-0005-0000-0000-0000E7000000}"/>
    <cellStyle name="R02A" xfId="231" xr:uid="{00000000-0005-0000-0000-0000E8000000}"/>
    <cellStyle name="R02B" xfId="232" xr:uid="{00000000-0005-0000-0000-0000E9000000}"/>
    <cellStyle name="R02H" xfId="233" xr:uid="{00000000-0005-0000-0000-0000EA000000}"/>
    <cellStyle name="R02L" xfId="234" xr:uid="{00000000-0005-0000-0000-0000EB000000}"/>
    <cellStyle name="R03A" xfId="235" xr:uid="{00000000-0005-0000-0000-0000EC000000}"/>
    <cellStyle name="R03B" xfId="236" xr:uid="{00000000-0005-0000-0000-0000ED000000}"/>
    <cellStyle name="R03H" xfId="237" xr:uid="{00000000-0005-0000-0000-0000EE000000}"/>
    <cellStyle name="R03L" xfId="238" xr:uid="{00000000-0005-0000-0000-0000EF000000}"/>
    <cellStyle name="R04A" xfId="239" xr:uid="{00000000-0005-0000-0000-0000F0000000}"/>
    <cellStyle name="R04B" xfId="240" xr:uid="{00000000-0005-0000-0000-0000F1000000}"/>
    <cellStyle name="R04H" xfId="241" xr:uid="{00000000-0005-0000-0000-0000F2000000}"/>
    <cellStyle name="R04L" xfId="242" xr:uid="{00000000-0005-0000-0000-0000F3000000}"/>
    <cellStyle name="R05A" xfId="243" xr:uid="{00000000-0005-0000-0000-0000F4000000}"/>
    <cellStyle name="R05B" xfId="244" xr:uid="{00000000-0005-0000-0000-0000F5000000}"/>
    <cellStyle name="R05H" xfId="245" xr:uid="{00000000-0005-0000-0000-0000F6000000}"/>
    <cellStyle name="R05L" xfId="246" xr:uid="{00000000-0005-0000-0000-0000F7000000}"/>
    <cellStyle name="R06A" xfId="247" xr:uid="{00000000-0005-0000-0000-0000F8000000}"/>
    <cellStyle name="R06B" xfId="248" xr:uid="{00000000-0005-0000-0000-0000F9000000}"/>
    <cellStyle name="R06H" xfId="249" xr:uid="{00000000-0005-0000-0000-0000FA000000}"/>
    <cellStyle name="R06L" xfId="250" xr:uid="{00000000-0005-0000-0000-0000FB000000}"/>
    <cellStyle name="R07A" xfId="251" xr:uid="{00000000-0005-0000-0000-0000FC000000}"/>
    <cellStyle name="R07B" xfId="252" xr:uid="{00000000-0005-0000-0000-0000FD000000}"/>
    <cellStyle name="R07H" xfId="253" xr:uid="{00000000-0005-0000-0000-0000FE000000}"/>
    <cellStyle name="R07L" xfId="254" xr:uid="{00000000-0005-0000-0000-0000FF000000}"/>
    <cellStyle name="Title" xfId="255" builtinId="15" customBuiltin="1"/>
    <cellStyle name="Title 2" xfId="256" xr:uid="{00000000-0005-0000-0000-000001010000}"/>
    <cellStyle name="Total" xfId="257" builtinId="25" customBuiltin="1"/>
    <cellStyle name="Total 2" xfId="258" xr:uid="{00000000-0005-0000-0000-000003010000}"/>
    <cellStyle name="Total 3" xfId="259" xr:uid="{00000000-0005-0000-0000-000004010000}"/>
    <cellStyle name="Total 3 2" xfId="260" xr:uid="{00000000-0005-0000-0000-000005010000}"/>
    <cellStyle name="Warning Text" xfId="261" builtinId="11" customBuiltin="1"/>
    <cellStyle name="Warning Text 2" xfId="262" xr:uid="{00000000-0005-0000-0000-000007010000}"/>
  </cellStyles>
  <dxfs count="61">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28</xdr:row>
      <xdr:rowOff>114300</xdr:rowOff>
    </xdr:from>
    <xdr:to>
      <xdr:col>4</xdr:col>
      <xdr:colOff>504825</xdr:colOff>
      <xdr:row>29</xdr:row>
      <xdr:rowOff>152400</xdr:rowOff>
    </xdr:to>
    <xdr:sp macro="" textlink="">
      <xdr:nvSpPr>
        <xdr:cNvPr id="1554" name="Text Box 1">
          <a:extLst>
            <a:ext uri="{FF2B5EF4-FFF2-40B4-BE49-F238E27FC236}">
              <a16:creationId xmlns:a16="http://schemas.microsoft.com/office/drawing/2014/main" id="{00000000-0008-0000-0100-000012060000}"/>
            </a:ext>
          </a:extLst>
        </xdr:cNvPr>
        <xdr:cNvSpPr txBox="1">
          <a:spLocks noChangeArrowheads="1"/>
        </xdr:cNvSpPr>
      </xdr:nvSpPr>
      <xdr:spPr bwMode="auto">
        <a:xfrm>
          <a:off x="4152900" y="5448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2936" name="Text Box 1">
          <a:extLst>
            <a:ext uri="{FF2B5EF4-FFF2-40B4-BE49-F238E27FC236}">
              <a16:creationId xmlns:a16="http://schemas.microsoft.com/office/drawing/2014/main" id="{00000000-0008-0000-0B00-00009859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1912" name="Text Box 1">
          <a:extLst>
            <a:ext uri="{FF2B5EF4-FFF2-40B4-BE49-F238E27FC236}">
              <a16:creationId xmlns:a16="http://schemas.microsoft.com/office/drawing/2014/main" id="{00000000-0008-0000-0C00-00009855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3960" name="Text Box 1">
          <a:extLst>
            <a:ext uri="{FF2B5EF4-FFF2-40B4-BE49-F238E27FC236}">
              <a16:creationId xmlns:a16="http://schemas.microsoft.com/office/drawing/2014/main" id="{00000000-0008-0000-0D00-0000985D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4984" name="Text Box 1">
          <a:extLst>
            <a:ext uri="{FF2B5EF4-FFF2-40B4-BE49-F238E27FC236}">
              <a16:creationId xmlns:a16="http://schemas.microsoft.com/office/drawing/2014/main" id="{00000000-0008-0000-0E00-0000986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5996" name="Text Box 1">
          <a:extLst>
            <a:ext uri="{FF2B5EF4-FFF2-40B4-BE49-F238E27FC236}">
              <a16:creationId xmlns:a16="http://schemas.microsoft.com/office/drawing/2014/main" id="{00000000-0008-0000-0F00-00008C65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26977" name="Text Box 1">
          <a:extLst>
            <a:ext uri="{FF2B5EF4-FFF2-40B4-BE49-F238E27FC236}">
              <a16:creationId xmlns:a16="http://schemas.microsoft.com/office/drawing/2014/main" id="{00000000-0008-0000-1000-00006169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28966" name="Text Box 1">
          <a:extLst>
            <a:ext uri="{FF2B5EF4-FFF2-40B4-BE49-F238E27FC236}">
              <a16:creationId xmlns:a16="http://schemas.microsoft.com/office/drawing/2014/main" id="{00000000-0008-0000-1100-00002671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1998" name="Text Box 1">
          <a:extLst>
            <a:ext uri="{FF2B5EF4-FFF2-40B4-BE49-F238E27FC236}">
              <a16:creationId xmlns:a16="http://schemas.microsoft.com/office/drawing/2014/main" id="{00000000-0008-0000-1200-0000FE7C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33022" name="Text Box 1">
          <a:extLst>
            <a:ext uri="{FF2B5EF4-FFF2-40B4-BE49-F238E27FC236}">
              <a16:creationId xmlns:a16="http://schemas.microsoft.com/office/drawing/2014/main" id="{00000000-0008-0000-1300-0000FE80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1</xdr:row>
      <xdr:rowOff>76200</xdr:rowOff>
    </xdr:to>
    <xdr:sp macro="" textlink="">
      <xdr:nvSpPr>
        <xdr:cNvPr id="36881" name="Text Box 1">
          <a:extLst>
            <a:ext uri="{FF2B5EF4-FFF2-40B4-BE49-F238E27FC236}">
              <a16:creationId xmlns:a16="http://schemas.microsoft.com/office/drawing/2014/main" id="{00000000-0008-0000-1400-000011900000}"/>
            </a:ext>
          </a:extLst>
        </xdr:cNvPr>
        <xdr:cNvSpPr txBox="1">
          <a:spLocks noChangeArrowheads="1"/>
        </xdr:cNvSpPr>
      </xdr:nvSpPr>
      <xdr:spPr bwMode="auto">
        <a:xfrm>
          <a:off x="3905250" y="0"/>
          <a:ext cx="11430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520700</xdr:colOff>
      <xdr:row>0</xdr:row>
      <xdr:rowOff>215900</xdr:rowOff>
    </xdr:to>
    <xdr:sp macro="" textlink="">
      <xdr:nvSpPr>
        <xdr:cNvPr id="2597" name="Text Box 1">
          <a:extLst>
            <a:ext uri="{FF2B5EF4-FFF2-40B4-BE49-F238E27FC236}">
              <a16:creationId xmlns:a16="http://schemas.microsoft.com/office/drawing/2014/main" id="{00000000-0008-0000-0300-0000250A0000}"/>
            </a:ext>
          </a:extLst>
        </xdr:cNvPr>
        <xdr:cNvSpPr txBox="1">
          <a:spLocks noChangeArrowheads="1"/>
        </xdr:cNvSpPr>
      </xdr:nvSpPr>
      <xdr:spPr bwMode="auto">
        <a:xfrm>
          <a:off x="3914775" y="0"/>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1</xdr:row>
      <xdr:rowOff>0</xdr:rowOff>
    </xdr:to>
    <xdr:sp macro="" textlink="">
      <xdr:nvSpPr>
        <xdr:cNvPr id="35909" name="Text Box 1">
          <a:extLst>
            <a:ext uri="{FF2B5EF4-FFF2-40B4-BE49-F238E27FC236}">
              <a16:creationId xmlns:a16="http://schemas.microsoft.com/office/drawing/2014/main" id="{00000000-0008-0000-1500-0000458C0000}"/>
            </a:ext>
          </a:extLst>
        </xdr:cNvPr>
        <xdr:cNvSpPr txBox="1">
          <a:spLocks noChangeArrowheads="1"/>
        </xdr:cNvSpPr>
      </xdr:nvSpPr>
      <xdr:spPr bwMode="auto">
        <a:xfrm>
          <a:off x="3905250" y="0"/>
          <a:ext cx="1143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2</xdr:row>
      <xdr:rowOff>6350</xdr:rowOff>
    </xdr:to>
    <xdr:sp macro="" textlink="">
      <xdr:nvSpPr>
        <xdr:cNvPr id="2" name="Text Box 1">
          <a:extLst>
            <a:ext uri="{FF2B5EF4-FFF2-40B4-BE49-F238E27FC236}">
              <a16:creationId xmlns:a16="http://schemas.microsoft.com/office/drawing/2014/main" id="{00000000-0008-0000-1600-000002000000}"/>
            </a:ext>
          </a:extLst>
        </xdr:cNvPr>
        <xdr:cNvSpPr txBox="1">
          <a:spLocks noChangeArrowheads="1"/>
        </xdr:cNvSpPr>
      </xdr:nvSpPr>
      <xdr:spPr bwMode="auto">
        <a:xfrm>
          <a:off x="4073525" y="0"/>
          <a:ext cx="114300" cy="330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3</xdr:row>
      <xdr:rowOff>19050</xdr:rowOff>
    </xdr:to>
    <xdr:sp macro="" textlink="">
      <xdr:nvSpPr>
        <xdr:cNvPr id="2" name="Text Box 1">
          <a:extLst>
            <a:ext uri="{FF2B5EF4-FFF2-40B4-BE49-F238E27FC236}">
              <a16:creationId xmlns:a16="http://schemas.microsoft.com/office/drawing/2014/main" id="{7B712F1A-F423-43FB-AA43-21B05F47955E}"/>
            </a:ext>
          </a:extLst>
        </xdr:cNvPr>
        <xdr:cNvSpPr txBox="1">
          <a:spLocks noChangeArrowheads="1"/>
        </xdr:cNvSpPr>
      </xdr:nvSpPr>
      <xdr:spPr bwMode="auto">
        <a:xfrm>
          <a:off x="3917950" y="0"/>
          <a:ext cx="114300" cy="504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3</xdr:row>
      <xdr:rowOff>19050</xdr:rowOff>
    </xdr:to>
    <xdr:sp macro="" textlink="">
      <xdr:nvSpPr>
        <xdr:cNvPr id="2" name="Text Box 1">
          <a:extLst>
            <a:ext uri="{FF2B5EF4-FFF2-40B4-BE49-F238E27FC236}">
              <a16:creationId xmlns:a16="http://schemas.microsoft.com/office/drawing/2014/main" id="{9CACF9E7-5526-4CA3-90DE-FB5E97F227F8}"/>
            </a:ext>
          </a:extLst>
        </xdr:cNvPr>
        <xdr:cNvSpPr txBox="1">
          <a:spLocks noChangeArrowheads="1"/>
        </xdr:cNvSpPr>
      </xdr:nvSpPr>
      <xdr:spPr bwMode="auto">
        <a:xfrm>
          <a:off x="3917950" y="0"/>
          <a:ext cx="114300" cy="504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3</xdr:row>
      <xdr:rowOff>19050</xdr:rowOff>
    </xdr:to>
    <xdr:sp macro="" textlink="">
      <xdr:nvSpPr>
        <xdr:cNvPr id="2" name="Text Box 1">
          <a:extLst>
            <a:ext uri="{FF2B5EF4-FFF2-40B4-BE49-F238E27FC236}">
              <a16:creationId xmlns:a16="http://schemas.microsoft.com/office/drawing/2014/main" id="{DF6B8BD0-3D8F-4AD4-B50D-A1B9C879D152}"/>
            </a:ext>
          </a:extLst>
        </xdr:cNvPr>
        <xdr:cNvSpPr txBox="1">
          <a:spLocks noChangeArrowheads="1"/>
        </xdr:cNvSpPr>
      </xdr:nvSpPr>
      <xdr:spPr bwMode="auto">
        <a:xfrm>
          <a:off x="3917950" y="0"/>
          <a:ext cx="114300" cy="504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523875</xdr:colOff>
      <xdr:row>0</xdr:row>
      <xdr:rowOff>238125</xdr:rowOff>
    </xdr:to>
    <xdr:sp macro="" textlink="">
      <xdr:nvSpPr>
        <xdr:cNvPr id="12784" name="Text Box 1">
          <a:extLst>
            <a:ext uri="{FF2B5EF4-FFF2-40B4-BE49-F238E27FC236}">
              <a16:creationId xmlns:a16="http://schemas.microsoft.com/office/drawing/2014/main" id="{00000000-0008-0000-1700-0000F03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3568" name="Text Box 1">
          <a:extLst>
            <a:ext uri="{FF2B5EF4-FFF2-40B4-BE49-F238E27FC236}">
              <a16:creationId xmlns:a16="http://schemas.microsoft.com/office/drawing/2014/main" id="{00000000-0008-0000-0400-0000F00D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15856" name="Text Box 1">
          <a:extLst>
            <a:ext uri="{FF2B5EF4-FFF2-40B4-BE49-F238E27FC236}">
              <a16:creationId xmlns:a16="http://schemas.microsoft.com/office/drawing/2014/main" id="{00000000-0008-0000-0500-0000F03D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16881" name="Text Box 1">
          <a:extLst>
            <a:ext uri="{FF2B5EF4-FFF2-40B4-BE49-F238E27FC236}">
              <a16:creationId xmlns:a16="http://schemas.microsoft.com/office/drawing/2014/main" id="{00000000-0008-0000-0600-0000F141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504825</xdr:colOff>
      <xdr:row>0</xdr:row>
      <xdr:rowOff>209550</xdr:rowOff>
    </xdr:to>
    <xdr:sp macro="" textlink="">
      <xdr:nvSpPr>
        <xdr:cNvPr id="17904" name="Text Box 1">
          <a:extLst>
            <a:ext uri="{FF2B5EF4-FFF2-40B4-BE49-F238E27FC236}">
              <a16:creationId xmlns:a16="http://schemas.microsoft.com/office/drawing/2014/main" id="{00000000-0008-0000-0700-0000F045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419100</xdr:colOff>
      <xdr:row>0</xdr:row>
      <xdr:rowOff>0</xdr:rowOff>
    </xdr:from>
    <xdr:to>
      <xdr:col>4</xdr:col>
      <xdr:colOff>501650</xdr:colOff>
      <xdr:row>0</xdr:row>
      <xdr:rowOff>209550</xdr:rowOff>
    </xdr:to>
    <xdr:sp macro="" textlink="">
      <xdr:nvSpPr>
        <xdr:cNvPr id="18929" name="Text Box 1">
          <a:extLst>
            <a:ext uri="{FF2B5EF4-FFF2-40B4-BE49-F238E27FC236}">
              <a16:creationId xmlns:a16="http://schemas.microsoft.com/office/drawing/2014/main" id="{00000000-0008-0000-0800-0000F1490000}"/>
            </a:ext>
          </a:extLst>
        </xdr:cNvPr>
        <xdr:cNvSpPr txBox="1">
          <a:spLocks noChangeArrowheads="1"/>
        </xdr:cNvSpPr>
      </xdr:nvSpPr>
      <xdr:spPr bwMode="auto">
        <a:xfrm>
          <a:off x="3914775"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19898" name="Text Box 1">
          <a:extLst>
            <a:ext uri="{FF2B5EF4-FFF2-40B4-BE49-F238E27FC236}">
              <a16:creationId xmlns:a16="http://schemas.microsoft.com/office/drawing/2014/main" id="{00000000-0008-0000-0900-0000BA4D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4</xdr:col>
      <xdr:colOff>520700</xdr:colOff>
      <xdr:row>0</xdr:row>
      <xdr:rowOff>234950</xdr:rowOff>
    </xdr:to>
    <xdr:sp macro="" textlink="">
      <xdr:nvSpPr>
        <xdr:cNvPr id="20920" name="Text Box 1">
          <a:extLst>
            <a:ext uri="{FF2B5EF4-FFF2-40B4-BE49-F238E27FC236}">
              <a16:creationId xmlns:a16="http://schemas.microsoft.com/office/drawing/2014/main" id="{00000000-0008-0000-0A00-0000B8510000}"/>
            </a:ext>
          </a:extLst>
        </xdr:cNvPr>
        <xdr:cNvSpPr txBox="1">
          <a:spLocks noChangeArrowheads="1"/>
        </xdr:cNvSpPr>
      </xdr:nvSpPr>
      <xdr:spPr bwMode="auto">
        <a:xfrm>
          <a:off x="3905250" y="0"/>
          <a:ext cx="1143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W77"/>
  <sheetViews>
    <sheetView zoomScale="70" zoomScaleNormal="70" zoomScaleSheetLayoutView="80" workbookViewId="0">
      <selection activeCell="H4" sqref="H4"/>
    </sheetView>
  </sheetViews>
  <sheetFormatPr defaultColWidth="8.7265625" defaultRowHeight="12.75" customHeight="1"/>
  <cols>
    <col min="1" max="1" width="9.81640625" style="145" customWidth="1"/>
    <col min="2" max="2" width="7" style="145" bestFit="1" customWidth="1"/>
    <col min="3" max="3" width="43.1796875" style="145" customWidth="1"/>
    <col min="4" max="4" width="9" style="145" customWidth="1"/>
    <col min="5" max="5" width="15.7265625" style="145" customWidth="1"/>
    <col min="6" max="6" width="13.81640625" style="145" customWidth="1"/>
    <col min="7" max="7" width="14.26953125" style="145" customWidth="1"/>
    <col min="8" max="8" width="2.81640625" style="145" customWidth="1"/>
    <col min="9" max="9" width="13.7265625" style="145" customWidth="1"/>
    <col min="10" max="10" width="13.26953125" style="145" customWidth="1"/>
    <col min="11" max="11" width="13.81640625" style="145" bestFit="1" customWidth="1"/>
    <col min="12" max="12" width="16.453125" style="145" customWidth="1"/>
    <col min="13" max="13" width="2.453125" style="145" customWidth="1"/>
    <col min="14" max="14" width="6.1796875" style="145" customWidth="1"/>
    <col min="15" max="15" width="7.7265625" style="145" customWidth="1"/>
    <col min="16" max="16" width="10.7265625" style="145" customWidth="1"/>
    <col min="17" max="17" width="11.1796875" style="145" bestFit="1" customWidth="1"/>
    <col min="18" max="18" width="18.7265625" style="145" customWidth="1"/>
    <col min="19" max="19" width="2.453125" style="145" customWidth="1"/>
    <col min="20" max="20" width="14.26953125" style="145" customWidth="1"/>
    <col min="21" max="21" width="11.1796875" style="145" bestFit="1" customWidth="1"/>
    <col min="22" max="22" width="18" style="145" customWidth="1"/>
    <col min="23" max="16384" width="8.7265625" style="145"/>
  </cols>
  <sheetData>
    <row r="1" spans="1:23" ht="15.5">
      <c r="H1" s="146" t="s">
        <v>136</v>
      </c>
      <c r="U1" s="145">
        <v>2023</v>
      </c>
    </row>
    <row r="2" spans="1:23" ht="15.5">
      <c r="H2" s="147" t="s">
        <v>159</v>
      </c>
    </row>
    <row r="3" spans="1:23" ht="15.5">
      <c r="H3" s="148" t="str">
        <f>"For Calendar Year "&amp;U1&amp;" and Projected Year "&amp;U1</f>
        <v>For Calendar Year 2023 and Projected Year 2023</v>
      </c>
    </row>
    <row r="4" spans="1:23" ht="15.5">
      <c r="H4" s="149"/>
    </row>
    <row r="5" spans="1:23" ht="15.5">
      <c r="H5" s="150" t="s">
        <v>137</v>
      </c>
    </row>
    <row r="7" spans="1:23" ht="18">
      <c r="C7" s="151"/>
      <c r="E7" s="151"/>
      <c r="F7" s="151"/>
      <c r="G7" s="151"/>
      <c r="H7" s="151" t="s">
        <v>188</v>
      </c>
      <c r="I7" s="151"/>
      <c r="J7" s="151"/>
      <c r="K7" s="151"/>
      <c r="L7" s="151"/>
    </row>
    <row r="8" spans="1:23" ht="12.5">
      <c r="D8" s="152"/>
    </row>
    <row r="9" spans="1:23" ht="12.5">
      <c r="A9" s="145" t="str">
        <f>"Note: Some project's final trued-up cost may not meet SPP's $100,000 threshold for socialization.  In that case a true-up of the pirior year ARR will be made in columns "&amp;I12&amp;" through "&amp;Q12&amp;", but no projected ARR will be shown in columns "&amp;E12&amp;" through "&amp;LEFT(G12,3)&amp;" for the current year."</f>
        <v>Note: Some project's final trued-up cost may not meet SPP's $100,000 threshold for socialization.  In that case a true-up of the pirior year ARR will be made in columns (H) through (O), but no projected ARR will be shown in columns (E) through (G) for the current year.</v>
      </c>
    </row>
    <row r="12" spans="1:23" ht="22.5" customHeight="1">
      <c r="A12" s="153" t="s">
        <v>138</v>
      </c>
      <c r="B12" s="153" t="s">
        <v>139</v>
      </c>
      <c r="C12" s="154" t="s">
        <v>140</v>
      </c>
      <c r="D12" s="153" t="s">
        <v>141</v>
      </c>
      <c r="E12" s="153" t="s">
        <v>142</v>
      </c>
      <c r="F12" s="153" t="s">
        <v>143</v>
      </c>
      <c r="G12" s="153" t="str">
        <f>"(G) = "&amp;E12&amp;" + "&amp;F12</f>
        <v>(G) = (E) + (F)</v>
      </c>
      <c r="H12" s="153"/>
      <c r="I12" s="153" t="s">
        <v>144</v>
      </c>
      <c r="J12" s="153" t="s">
        <v>145</v>
      </c>
      <c r="K12" s="155" t="s">
        <v>167</v>
      </c>
      <c r="L12" s="153" t="str">
        <f>"(K) = "&amp;J12&amp;" - "&amp;K12</f>
        <v>(K) = (I) - (J)</v>
      </c>
      <c r="M12" s="153"/>
      <c r="N12" s="153" t="s">
        <v>168</v>
      </c>
      <c r="O12" s="153" t="s">
        <v>146</v>
      </c>
      <c r="P12" s="153" t="str">
        <f>"(N) = "&amp;N12&amp;"-"&amp;O12</f>
        <v>(N) = (L)-(M)</v>
      </c>
      <c r="Q12" s="153" t="s">
        <v>169</v>
      </c>
      <c r="R12" s="153" t="str">
        <f>"(P) = "&amp;I12&amp;"+"&amp;LEFT(L12,3)&amp;"+"&amp;LEFT(P12,3)&amp;"+"&amp;Q12</f>
        <v>(P) = (H)+(K)+(N)+(O)</v>
      </c>
      <c r="S12" s="153"/>
      <c r="T12" s="153" t="str">
        <f>"(Q) = "&amp;LEFT(G12,3)&amp;" + "&amp;LEFT(R12,3)</f>
        <v>(Q) = (G) + (P)</v>
      </c>
      <c r="U12" s="153"/>
      <c r="V12" s="156"/>
      <c r="W12" s="156"/>
    </row>
    <row r="13" spans="1:23" ht="16.5" customHeight="1">
      <c r="A13" s="157"/>
      <c r="B13" s="157"/>
      <c r="C13" s="157"/>
      <c r="D13" s="157"/>
      <c r="E13" s="724" t="str">
        <f>"Projected ARR For "&amp;U1&amp;" From WS-F"</f>
        <v>Projected ARR For 2023 From WS-F</v>
      </c>
      <c r="F13" s="724"/>
      <c r="G13" s="724"/>
      <c r="H13" s="157"/>
      <c r="I13" s="158" t="str">
        <f>"True-Up ARR CY"&amp;U1&amp;" From Worksheet G  (includes adjustment for SPP Collections)"</f>
        <v>True-Up ARR CY2023 From Worksheet G  (includes adjustment for SPP Collections)</v>
      </c>
      <c r="J13" s="158"/>
      <c r="K13" s="158"/>
      <c r="L13" s="158"/>
      <c r="M13" s="158"/>
      <c r="N13" s="158"/>
      <c r="O13" s="158"/>
      <c r="P13" s="158"/>
      <c r="Q13" s="158"/>
      <c r="R13" s="159"/>
      <c r="S13" s="157"/>
      <c r="T13" s="157"/>
      <c r="U13" s="157"/>
    </row>
    <row r="14" spans="1:23" ht="18" customHeight="1">
      <c r="G14" s="160"/>
      <c r="T14" s="725" t="str">
        <f>"Total ADJUSTED Revenue Requirement Effective
1/1/"&amp;U1&amp;""</f>
        <v>Total ADJUSTED Revenue Requirement Effective
1/1/2023</v>
      </c>
    </row>
    <row r="15" spans="1:23" ht="18" customHeight="1" thickBot="1">
      <c r="D15" s="157"/>
      <c r="E15" s="161"/>
      <c r="F15" s="161"/>
      <c r="G15" s="161"/>
      <c r="I15" s="158" t="s">
        <v>147</v>
      </c>
      <c r="J15" s="162"/>
      <c r="K15" s="162"/>
      <c r="L15" s="162"/>
      <c r="M15" s="163"/>
      <c r="N15" s="158" t="s">
        <v>166</v>
      </c>
      <c r="O15" s="164"/>
      <c r="P15" s="164"/>
      <c r="Q15" s="165"/>
      <c r="T15" s="725"/>
    </row>
    <row r="16" spans="1:23" ht="72.75" customHeight="1">
      <c r="A16" s="166" t="s">
        <v>156</v>
      </c>
      <c r="B16" s="167" t="s">
        <v>148</v>
      </c>
      <c r="C16" s="167" t="s">
        <v>116</v>
      </c>
      <c r="D16" s="168" t="s">
        <v>149</v>
      </c>
      <c r="E16" s="169" t="s">
        <v>164</v>
      </c>
      <c r="F16" s="170" t="s">
        <v>150</v>
      </c>
      <c r="G16" s="170" t="s">
        <v>151</v>
      </c>
      <c r="I16" s="171" t="s">
        <v>163</v>
      </c>
      <c r="J16" s="172" t="s">
        <v>268</v>
      </c>
      <c r="K16" s="171" t="s">
        <v>179</v>
      </c>
      <c r="L16" s="171" t="s">
        <v>165</v>
      </c>
      <c r="M16" s="171"/>
      <c r="N16" s="172" t="s">
        <v>152</v>
      </c>
      <c r="O16" s="172" t="s">
        <v>153</v>
      </c>
      <c r="P16" s="173" t="s">
        <v>154</v>
      </c>
      <c r="Q16" s="173" t="s">
        <v>155</v>
      </c>
      <c r="R16" s="169" t="s">
        <v>181</v>
      </c>
      <c r="T16" s="725"/>
      <c r="U16" s="722" t="s">
        <v>303</v>
      </c>
      <c r="V16" s="174" t="s">
        <v>170</v>
      </c>
    </row>
    <row r="17" spans="1:23" ht="13">
      <c r="B17" s="157"/>
      <c r="C17" s="157"/>
      <c r="E17" s="175"/>
      <c r="F17" s="175"/>
      <c r="G17" s="175"/>
      <c r="I17" s="175"/>
      <c r="J17" s="175"/>
      <c r="K17" s="175"/>
      <c r="L17" s="175"/>
      <c r="M17" s="175"/>
      <c r="N17" s="175"/>
      <c r="O17" s="175"/>
      <c r="P17" s="175"/>
      <c r="Q17" s="175"/>
      <c r="R17" s="175"/>
      <c r="T17" s="175"/>
      <c r="U17"/>
      <c r="V17" s="176"/>
    </row>
    <row r="18" spans="1:23" ht="13">
      <c r="A18" s="155" t="s">
        <v>194</v>
      </c>
      <c r="B18" s="153" t="s">
        <v>182</v>
      </c>
      <c r="C18" s="177" t="str">
        <f t="shared" ref="C18:F39" ca="1" si="0">INDIRECT("'"&amp; $A18 &amp; "'!" &amp;C$48)</f>
        <v>Snyder 138 kV Terminal Addition</v>
      </c>
      <c r="D18" s="178">
        <f t="shared" ca="1" si="0"/>
        <v>2010</v>
      </c>
      <c r="E18" s="179">
        <v>0</v>
      </c>
      <c r="F18" s="180">
        <f t="shared" ca="1" si="0"/>
        <v>0</v>
      </c>
      <c r="G18" s="180">
        <f t="shared" ref="G18:G23" ca="1" si="1">+E18+F18</f>
        <v>0</v>
      </c>
      <c r="H18" s="181"/>
      <c r="I18" s="182">
        <f t="shared" ref="I18:I39" ca="1" si="2">INDIRECT("'"&amp; $A18 &amp; "'!" &amp;I$48)</f>
        <v>8813.7384195225604</v>
      </c>
      <c r="J18" s="719">
        <v>86529.225769658966</v>
      </c>
      <c r="K18" s="183">
        <f>J18/(J$41)*K$41</f>
        <v>91431.284305893976</v>
      </c>
      <c r="L18" s="179">
        <f t="shared" ref="L18:L23" si="3">+J18-K18</f>
        <v>-4902.0585362350103</v>
      </c>
      <c r="M18" s="179"/>
      <c r="N18" s="180">
        <v>0</v>
      </c>
      <c r="O18" s="180">
        <v>0</v>
      </c>
      <c r="P18" s="180"/>
      <c r="Q18" s="183">
        <f ca="1">+V18/$V$41 * $Q$41</f>
        <v>704.5238817236152</v>
      </c>
      <c r="R18" s="184">
        <f ca="1">I18+L18+P18+Q18</f>
        <v>4616.2037650111652</v>
      </c>
      <c r="S18" s="184"/>
      <c r="T18" s="185">
        <f t="shared" ref="T18:T23" ca="1" si="4">+G18+R18</f>
        <v>4616.2037650111652</v>
      </c>
      <c r="U18" s="723">
        <v>-5499.372955322242</v>
      </c>
      <c r="V18" s="186">
        <f t="shared" ref="V18:V23" ca="1" si="5">+I18+L18+P18</f>
        <v>3911.6798832875502</v>
      </c>
      <c r="W18" s="145" t="str">
        <f t="shared" ref="W18:W23" si="6">A18</f>
        <v>OKT.001</v>
      </c>
    </row>
    <row r="19" spans="1:23" ht="13">
      <c r="A19" s="155" t="s">
        <v>195</v>
      </c>
      <c r="B19" s="153" t="s">
        <v>182</v>
      </c>
      <c r="C19" s="177" t="str">
        <f t="shared" ca="1" si="0"/>
        <v>Coffeyville T to Dearing 138 kV Rebuild - 1.1 miles</v>
      </c>
      <c r="D19" s="178">
        <f t="shared" ca="1" si="0"/>
        <v>2010</v>
      </c>
      <c r="E19" s="179">
        <v>0</v>
      </c>
      <c r="F19" s="180">
        <f t="shared" ca="1" si="0"/>
        <v>0</v>
      </c>
      <c r="G19" s="180">
        <f t="shared" ca="1" si="1"/>
        <v>0</v>
      </c>
      <c r="H19" s="181"/>
      <c r="I19" s="182">
        <f t="shared" ca="1" si="2"/>
        <v>12284.217281802034</v>
      </c>
      <c r="J19" s="719">
        <v>116818.74455615823</v>
      </c>
      <c r="K19" s="183">
        <f>J19/(J$41)*K$41</f>
        <v>123436.76660420212</v>
      </c>
      <c r="L19" s="179">
        <f t="shared" si="3"/>
        <v>-6618.0220480438875</v>
      </c>
      <c r="M19" s="179"/>
      <c r="N19" s="180">
        <v>0</v>
      </c>
      <c r="O19" s="180">
        <v>0</v>
      </c>
      <c r="P19" s="180"/>
      <c r="Q19" s="183">
        <f t="shared" ref="Q19:Q35" ca="1" si="7">+V19/$V$41 * $Q$41</f>
        <v>1020.5257024601173</v>
      </c>
      <c r="R19" s="184">
        <f t="shared" ref="R19:R23" ca="1" si="8">I19+L19+P19+Q19</f>
        <v>6686.720936218263</v>
      </c>
      <c r="S19" s="184"/>
      <c r="T19" s="187">
        <f t="shared" ca="1" si="4"/>
        <v>6686.720936218263</v>
      </c>
      <c r="U19" s="723">
        <v>-7747.8566480788713</v>
      </c>
      <c r="V19" s="186">
        <f t="shared" ca="1" si="5"/>
        <v>5666.1952337581461</v>
      </c>
      <c r="W19" s="145" t="str">
        <f t="shared" si="6"/>
        <v>OKT.002</v>
      </c>
    </row>
    <row r="20" spans="1:23" ht="13">
      <c r="A20" s="155" t="s">
        <v>202</v>
      </c>
      <c r="B20" s="153" t="s">
        <v>182</v>
      </c>
      <c r="C20" s="177" t="str">
        <f t="shared" ca="1" si="0"/>
        <v>Tulsa Power Station Reactor</v>
      </c>
      <c r="D20" s="178">
        <f t="shared" ca="1" si="0"/>
        <v>2011</v>
      </c>
      <c r="E20" s="179">
        <v>0</v>
      </c>
      <c r="F20" s="180">
        <f t="shared" ca="1" si="0"/>
        <v>0</v>
      </c>
      <c r="G20" s="180">
        <f t="shared" ca="1" si="1"/>
        <v>0</v>
      </c>
      <c r="H20" s="181"/>
      <c r="I20" s="182">
        <f t="shared" ca="1" si="2"/>
        <v>7556.4566097244096</v>
      </c>
      <c r="J20" s="719">
        <v>74495.938560170209</v>
      </c>
      <c r="K20" s="183">
        <f>J20/(J$41)*K$41</f>
        <v>78716.286636620585</v>
      </c>
      <c r="L20" s="179">
        <f t="shared" si="3"/>
        <v>-4220.3480764503765</v>
      </c>
      <c r="M20" s="179"/>
      <c r="N20" s="180">
        <v>0</v>
      </c>
      <c r="O20" s="180">
        <v>0</v>
      </c>
      <c r="P20" s="180"/>
      <c r="Q20" s="183">
        <f t="shared" ca="1" si="7"/>
        <v>600.85901807950199</v>
      </c>
      <c r="R20" s="184">
        <f t="shared" ca="1" si="8"/>
        <v>3936.9675513535349</v>
      </c>
      <c r="S20" s="184"/>
      <c r="T20" s="187">
        <f t="shared" ca="1" si="4"/>
        <v>3936.9675513535349</v>
      </c>
      <c r="U20" s="723">
        <v>-4821.463200223091</v>
      </c>
      <c r="V20" s="186">
        <f t="shared" ca="1" si="5"/>
        <v>3336.1085332740331</v>
      </c>
      <c r="W20" s="145" t="str">
        <f t="shared" si="6"/>
        <v>OKT.003</v>
      </c>
    </row>
    <row r="21" spans="1:23" ht="13">
      <c r="A21" s="155" t="s">
        <v>203</v>
      </c>
      <c r="B21" s="153" t="s">
        <v>182</v>
      </c>
      <c r="C21" s="177" t="str">
        <f t="shared" ca="1" si="0"/>
        <v xml:space="preserve">Bartlesville SE to Coffeyville T Rebuild </v>
      </c>
      <c r="D21" s="178">
        <f t="shared" ca="1" si="0"/>
        <v>2011</v>
      </c>
      <c r="E21" s="179">
        <v>0</v>
      </c>
      <c r="F21" s="180">
        <f t="shared" ca="1" si="0"/>
        <v>0</v>
      </c>
      <c r="G21" s="180">
        <f t="shared" ca="1" si="1"/>
        <v>0</v>
      </c>
      <c r="H21" s="181"/>
      <c r="I21" s="182">
        <f t="shared" ca="1" si="2"/>
        <v>125247.11316649173</v>
      </c>
      <c r="J21" s="719">
        <v>1324941.0385838016</v>
      </c>
      <c r="K21" s="183">
        <f>J21/(J$41)*K$41</f>
        <v>1400001.6723803794</v>
      </c>
      <c r="L21" s="179">
        <f t="shared" si="3"/>
        <v>-75060.633796577808</v>
      </c>
      <c r="M21" s="179"/>
      <c r="N21" s="180">
        <v>0</v>
      </c>
      <c r="O21" s="180">
        <v>0</v>
      </c>
      <c r="P21" s="180"/>
      <c r="Q21" s="183">
        <f t="shared" ca="1" si="7"/>
        <v>9038.9741263842425</v>
      </c>
      <c r="R21" s="184">
        <f t="shared" ca="1" si="8"/>
        <v>59225.453496298171</v>
      </c>
      <c r="S21" s="184"/>
      <c r="T21" s="187">
        <f t="shared" ca="1" si="4"/>
        <v>59225.453496298171</v>
      </c>
      <c r="U21" s="723">
        <v>-77820.184298009874</v>
      </c>
      <c r="V21" s="186">
        <f t="shared" ca="1" si="5"/>
        <v>50186.479369913926</v>
      </c>
      <c r="W21" s="145" t="str">
        <f t="shared" si="6"/>
        <v>OKT.004</v>
      </c>
    </row>
    <row r="22" spans="1:23" ht="13">
      <c r="A22" s="155" t="s">
        <v>207</v>
      </c>
      <c r="B22" s="153" t="s">
        <v>182</v>
      </c>
      <c r="C22" s="177" t="str">
        <f t="shared" ca="1" si="0"/>
        <v>Install 345kV terminal at Valliant***</v>
      </c>
      <c r="D22" s="178">
        <f t="shared" ca="1" si="0"/>
        <v>2012</v>
      </c>
      <c r="E22" s="179">
        <v>0</v>
      </c>
      <c r="F22" s="180">
        <f t="shared" ca="1" si="0"/>
        <v>0</v>
      </c>
      <c r="G22" s="180">
        <f t="shared" ca="1" si="1"/>
        <v>0</v>
      </c>
      <c r="H22" s="181"/>
      <c r="I22" s="182">
        <f t="shared" ca="1" si="2"/>
        <v>0</v>
      </c>
      <c r="J22" s="719">
        <v>0</v>
      </c>
      <c r="K22" s="183">
        <v>0</v>
      </c>
      <c r="L22" s="179">
        <f t="shared" si="3"/>
        <v>0</v>
      </c>
      <c r="M22" s="179"/>
      <c r="N22" s="180">
        <v>0</v>
      </c>
      <c r="O22" s="180">
        <v>0</v>
      </c>
      <c r="P22" s="180"/>
      <c r="Q22" s="183">
        <f t="shared" ca="1" si="7"/>
        <v>0</v>
      </c>
      <c r="R22" s="184">
        <f t="shared" ca="1" si="8"/>
        <v>0</v>
      </c>
      <c r="S22" s="184"/>
      <c r="T22" s="187">
        <f t="shared" ca="1" si="4"/>
        <v>0</v>
      </c>
      <c r="U22" s="723">
        <v>0</v>
      </c>
      <c r="V22" s="186">
        <f t="shared" ca="1" si="5"/>
        <v>0</v>
      </c>
      <c r="W22" s="145" t="str">
        <f t="shared" si="6"/>
        <v>OKT.005</v>
      </c>
    </row>
    <row r="23" spans="1:23" ht="25">
      <c r="A23" s="155" t="s">
        <v>208</v>
      </c>
      <c r="B23" s="153" t="s">
        <v>182</v>
      </c>
      <c r="C23" s="177" t="str">
        <f t="shared" ca="1" si="0"/>
        <v xml:space="preserve">Canadian River - McAlester City 138 kV Line Conversion </v>
      </c>
      <c r="D23" s="178">
        <f t="shared" ca="1" si="0"/>
        <v>2013</v>
      </c>
      <c r="E23" s="179">
        <v>0</v>
      </c>
      <c r="F23" s="180">
        <f t="shared" ca="1" si="0"/>
        <v>0</v>
      </c>
      <c r="G23" s="180">
        <f t="shared" ca="1" si="1"/>
        <v>0</v>
      </c>
      <c r="H23" s="181"/>
      <c r="I23" s="182">
        <f t="shared" ca="1" si="2"/>
        <v>349797.75545045454</v>
      </c>
      <c r="J23" s="719">
        <v>3620261.7161982022</v>
      </c>
      <c r="K23" s="183">
        <f t="shared" ref="K23:K37" si="9">J23/(J$41)*K$41</f>
        <v>3825356.9853565786</v>
      </c>
      <c r="L23" s="179">
        <f t="shared" si="3"/>
        <v>-205095.26915837638</v>
      </c>
      <c r="M23" s="179"/>
      <c r="N23" s="180">
        <v>0</v>
      </c>
      <c r="O23" s="180">
        <v>0</v>
      </c>
      <c r="P23" s="180"/>
      <c r="Q23" s="183">
        <f t="shared" ca="1" si="7"/>
        <v>26062.039936630212</v>
      </c>
      <c r="R23" s="184">
        <f t="shared" ca="1" si="8"/>
        <v>170764.52622870836</v>
      </c>
      <c r="S23" s="184"/>
      <c r="T23" s="187">
        <f t="shared" ca="1" si="4"/>
        <v>170764.52622870836</v>
      </c>
      <c r="U23" s="723">
        <v>-228102.40275145744</v>
      </c>
      <c r="V23" s="186">
        <f t="shared" ca="1" si="5"/>
        <v>144702.48629207816</v>
      </c>
      <c r="W23" s="145" t="str">
        <f t="shared" si="6"/>
        <v>OKT.006</v>
      </c>
    </row>
    <row r="24" spans="1:23" ht="13">
      <c r="A24" s="155" t="s">
        <v>216</v>
      </c>
      <c r="B24" s="153" t="s">
        <v>182</v>
      </c>
      <c r="C24" s="177" t="str">
        <f t="shared" ca="1" si="0"/>
        <v xml:space="preserve">Cornville Station Conversion </v>
      </c>
      <c r="D24" s="178">
        <f t="shared" ca="1" si="0"/>
        <v>2014</v>
      </c>
      <c r="E24" s="179">
        <v>0</v>
      </c>
      <c r="F24" s="180">
        <f t="shared" ca="1" si="0"/>
        <v>0</v>
      </c>
      <c r="G24" s="180">
        <f t="shared" ref="G24:G30" ca="1" si="10">+E24+F24</f>
        <v>0</v>
      </c>
      <c r="H24" s="181"/>
      <c r="I24" s="182">
        <f t="shared" ca="1" si="2"/>
        <v>125382.79085157393</v>
      </c>
      <c r="J24" s="719">
        <v>1291454.8055966571</v>
      </c>
      <c r="K24" s="183">
        <f t="shared" si="9"/>
        <v>1364618.3754497997</v>
      </c>
      <c r="L24" s="179">
        <f t="shared" ref="L24:L30" si="11">+J24-K24</f>
        <v>-73163.569853142602</v>
      </c>
      <c r="M24" s="179"/>
      <c r="N24" s="180">
        <v>0</v>
      </c>
      <c r="O24" s="180">
        <v>0</v>
      </c>
      <c r="P24" s="180"/>
      <c r="Q24" s="183">
        <f t="shared" ca="1" si="7"/>
        <v>9405.0866574180036</v>
      </c>
      <c r="R24" s="184">
        <f t="shared" ref="R24:R30" ca="1" si="12">I24+L24+P24+Q24</f>
        <v>61624.307655849327</v>
      </c>
      <c r="S24" s="184"/>
      <c r="T24" s="187">
        <f t="shared" ref="T24:T30" ca="1" si="13">+G24+R24</f>
        <v>61624.307655849327</v>
      </c>
      <c r="U24" s="723">
        <v>-83485.563429901857</v>
      </c>
      <c r="V24" s="186">
        <f t="shared" ref="V24:V30" ca="1" si="14">+I24+L24+P24</f>
        <v>52219.220998431323</v>
      </c>
      <c r="W24" s="145" t="str">
        <f t="shared" ref="W24:W30" si="15">A24</f>
        <v>OKT.007</v>
      </c>
    </row>
    <row r="25" spans="1:23" ht="13">
      <c r="A25" s="155" t="s">
        <v>217</v>
      </c>
      <c r="B25" s="153" t="s">
        <v>182</v>
      </c>
      <c r="C25" s="177" t="str">
        <f t="shared" ca="1" si="0"/>
        <v>Coweta 69 kV Capacitor</v>
      </c>
      <c r="D25" s="178">
        <f t="shared" ca="1" si="0"/>
        <v>2014</v>
      </c>
      <c r="E25" s="188">
        <v>0</v>
      </c>
      <c r="F25" s="189">
        <f t="shared" ca="1" si="0"/>
        <v>0</v>
      </c>
      <c r="G25" s="189">
        <f t="shared" ca="1" si="10"/>
        <v>0</v>
      </c>
      <c r="H25" s="190"/>
      <c r="I25" s="182">
        <f t="shared" ca="1" si="2"/>
        <v>21562.369833081146</v>
      </c>
      <c r="J25" s="719">
        <v>235933.18778950532</v>
      </c>
      <c r="K25" s="183">
        <f t="shared" si="9"/>
        <v>249299.28793540792</v>
      </c>
      <c r="L25" s="188">
        <f t="shared" si="11"/>
        <v>-13366.100145902601</v>
      </c>
      <c r="M25" s="188"/>
      <c r="N25" s="189">
        <v>0</v>
      </c>
      <c r="O25" s="189">
        <v>0</v>
      </c>
      <c r="P25" s="180"/>
      <c r="Q25" s="191">
        <f t="shared" ca="1" si="7"/>
        <v>1476.2117320325071</v>
      </c>
      <c r="R25" s="192">
        <f t="shared" ca="1" si="12"/>
        <v>9672.4814192110516</v>
      </c>
      <c r="S25" s="192"/>
      <c r="T25" s="193">
        <f t="shared" ca="1" si="13"/>
        <v>9672.4814192110516</v>
      </c>
      <c r="U25" s="723">
        <v>-13723.562089306388</v>
      </c>
      <c r="V25" s="186">
        <f ca="1">+I25+L25+P25</f>
        <v>8196.2696871785447</v>
      </c>
      <c r="W25" s="145" t="str">
        <f t="shared" si="15"/>
        <v>OKT.008</v>
      </c>
    </row>
    <row r="26" spans="1:23" ht="13">
      <c r="A26" s="194" t="s">
        <v>225</v>
      </c>
      <c r="B26" s="153" t="s">
        <v>182</v>
      </c>
      <c r="C26" s="177" t="str">
        <f t="shared" ca="1" si="0"/>
        <v>Prattville-Bluebell 138 kV</v>
      </c>
      <c r="D26" s="178">
        <f t="shared" ca="1" si="0"/>
        <v>2015</v>
      </c>
      <c r="E26" s="188">
        <v>0</v>
      </c>
      <c r="F26" s="189">
        <f t="shared" ca="1" si="0"/>
        <v>0</v>
      </c>
      <c r="G26" s="189">
        <f t="shared" ca="1" si="10"/>
        <v>0</v>
      </c>
      <c r="H26" s="190"/>
      <c r="I26" s="182">
        <f t="shared" ca="1" si="2"/>
        <v>103601.48619082663</v>
      </c>
      <c r="J26" s="719">
        <v>1097487.7377216604</v>
      </c>
      <c r="K26" s="183">
        <f t="shared" si="9"/>
        <v>1159662.6744006635</v>
      </c>
      <c r="L26" s="188">
        <f t="shared" si="11"/>
        <v>-62174.936679003062</v>
      </c>
      <c r="M26" s="188"/>
      <c r="N26" s="189">
        <v>0</v>
      </c>
      <c r="O26" s="189">
        <v>0</v>
      </c>
      <c r="P26" s="180"/>
      <c r="Q26" s="191">
        <f t="shared" ca="1" si="7"/>
        <v>7461.2428264340151</v>
      </c>
      <c r="R26" s="192">
        <f t="shared" ca="1" si="12"/>
        <v>48887.792338257583</v>
      </c>
      <c r="S26" s="192"/>
      <c r="T26" s="193">
        <f t="shared" ca="1" si="13"/>
        <v>48887.792338257583</v>
      </c>
      <c r="U26" s="723">
        <v>-69686.135436096243</v>
      </c>
      <c r="V26" s="186">
        <f t="shared" ca="1" si="14"/>
        <v>41426.54951182357</v>
      </c>
      <c r="W26" s="145" t="str">
        <f t="shared" si="15"/>
        <v>OKT.009</v>
      </c>
    </row>
    <row r="27" spans="1:23" ht="13">
      <c r="A27" s="194" t="s">
        <v>226</v>
      </c>
      <c r="B27" s="153" t="s">
        <v>182</v>
      </c>
      <c r="C27" s="177" t="str">
        <f t="shared" ca="1" si="0"/>
        <v>Wapanucka Customer Connection</v>
      </c>
      <c r="D27" s="178">
        <f t="shared" ca="1" si="0"/>
        <v>2013</v>
      </c>
      <c r="E27" s="188">
        <v>0</v>
      </c>
      <c r="F27" s="189">
        <f t="shared" ca="1" si="0"/>
        <v>0</v>
      </c>
      <c r="G27" s="189">
        <f t="shared" ca="1" si="10"/>
        <v>0</v>
      </c>
      <c r="H27" s="190"/>
      <c r="I27" s="182">
        <f t="shared" ca="1" si="2"/>
        <v>101726.18182361242</v>
      </c>
      <c r="J27" s="719">
        <v>920234.24152303895</v>
      </c>
      <c r="K27" s="183">
        <f t="shared" si="9"/>
        <v>972367.40322498407</v>
      </c>
      <c r="L27" s="188">
        <f t="shared" si="11"/>
        <v>-52133.161701945122</v>
      </c>
      <c r="M27" s="188"/>
      <c r="N27" s="189">
        <v>0</v>
      </c>
      <c r="O27" s="189">
        <v>0</v>
      </c>
      <c r="P27" s="180"/>
      <c r="Q27" s="191">
        <f t="shared" ca="1" si="7"/>
        <v>8932.0875135492206</v>
      </c>
      <c r="R27" s="192">
        <f t="shared" ca="1" si="12"/>
        <v>58525.107635216526</v>
      </c>
      <c r="S27" s="192"/>
      <c r="T27" s="193">
        <f t="shared" ca="1" si="13"/>
        <v>58525.107635216526</v>
      </c>
      <c r="U27" s="723">
        <v>-74993.755145809424</v>
      </c>
      <c r="V27" s="186">
        <f t="shared" ca="1" si="14"/>
        <v>49593.020121667301</v>
      </c>
      <c r="W27" s="145" t="str">
        <f t="shared" si="15"/>
        <v>OKT.010</v>
      </c>
    </row>
    <row r="28" spans="1:23" ht="13">
      <c r="A28" s="194" t="s">
        <v>227</v>
      </c>
      <c r="B28" s="153" t="s">
        <v>182</v>
      </c>
      <c r="C28" s="177" t="str">
        <f t="shared" ca="1" si="0"/>
        <v>Grady Customer Connection</v>
      </c>
      <c r="D28" s="178">
        <f t="shared" ca="1" si="0"/>
        <v>2014</v>
      </c>
      <c r="E28" s="188">
        <v>0</v>
      </c>
      <c r="F28" s="189">
        <f t="shared" ca="1" si="0"/>
        <v>0</v>
      </c>
      <c r="G28" s="189">
        <f t="shared" ca="1" si="10"/>
        <v>0</v>
      </c>
      <c r="H28" s="190"/>
      <c r="I28" s="182">
        <f t="shared" ca="1" si="2"/>
        <v>247354.18978735153</v>
      </c>
      <c r="J28" s="719">
        <v>2582750.1472230433</v>
      </c>
      <c r="K28" s="183">
        <f t="shared" si="9"/>
        <v>2729068.252967569</v>
      </c>
      <c r="L28" s="188">
        <f t="shared" si="11"/>
        <v>-146318.10574452579</v>
      </c>
      <c r="M28" s="188"/>
      <c r="N28" s="189">
        <v>0</v>
      </c>
      <c r="O28" s="189">
        <v>0</v>
      </c>
      <c r="P28" s="180"/>
      <c r="Q28" s="191">
        <f t="shared" ca="1" si="7"/>
        <v>18197.382262318511</v>
      </c>
      <c r="R28" s="192">
        <f t="shared" ca="1" si="12"/>
        <v>119233.46630514425</v>
      </c>
      <c r="S28" s="192"/>
      <c r="T28" s="193">
        <f t="shared" ca="1" si="13"/>
        <v>119233.46630514425</v>
      </c>
      <c r="U28" s="723">
        <v>-165897.90283439902</v>
      </c>
      <c r="V28" s="186">
        <f t="shared" ca="1" si="14"/>
        <v>101036.08404282574</v>
      </c>
      <c r="W28" s="145" t="str">
        <f t="shared" si="15"/>
        <v>OKT.011</v>
      </c>
    </row>
    <row r="29" spans="1:23" ht="13">
      <c r="A29" s="194" t="s">
        <v>228</v>
      </c>
      <c r="B29" s="153" t="s">
        <v>182</v>
      </c>
      <c r="C29" s="177" t="str">
        <f t="shared" ca="1" si="0"/>
        <v>Darlington-Red Rock 138 kV line</v>
      </c>
      <c r="D29" s="178">
        <f t="shared" ca="1" si="0"/>
        <v>2014</v>
      </c>
      <c r="E29" s="188">
        <v>0</v>
      </c>
      <c r="F29" s="189">
        <f t="shared" ca="1" si="0"/>
        <v>0</v>
      </c>
      <c r="G29" s="189">
        <f t="shared" ca="1" si="10"/>
        <v>0</v>
      </c>
      <c r="H29" s="190"/>
      <c r="I29" s="182">
        <f t="shared" ca="1" si="2"/>
        <v>149234.04518985935</v>
      </c>
      <c r="J29" s="719">
        <v>1730864.8801793624</v>
      </c>
      <c r="K29" s="183">
        <f t="shared" si="9"/>
        <v>1828921.9341456045</v>
      </c>
      <c r="L29" s="188">
        <f t="shared" si="11"/>
        <v>-98057.053966242122</v>
      </c>
      <c r="M29" s="188"/>
      <c r="N29" s="189">
        <v>0</v>
      </c>
      <c r="O29" s="189">
        <v>0</v>
      </c>
      <c r="P29" s="180"/>
      <c r="Q29" s="191">
        <f t="shared" ca="1" si="7"/>
        <v>9217.3729925710632</v>
      </c>
      <c r="R29" s="192">
        <f t="shared" ca="1" si="12"/>
        <v>60394.364216188289</v>
      </c>
      <c r="S29" s="192"/>
      <c r="T29" s="193">
        <f t="shared" ca="1" si="13"/>
        <v>60394.364216188289</v>
      </c>
      <c r="U29" s="723">
        <v>-143702.96017060196</v>
      </c>
      <c r="V29" s="186">
        <f t="shared" ca="1" si="14"/>
        <v>51176.991223617224</v>
      </c>
      <c r="W29" s="145" t="str">
        <f t="shared" si="15"/>
        <v>OKT.012</v>
      </c>
    </row>
    <row r="30" spans="1:23" ht="13">
      <c r="A30" s="194" t="s">
        <v>233</v>
      </c>
      <c r="B30" s="153" t="s">
        <v>182</v>
      </c>
      <c r="C30" s="177" t="str">
        <f t="shared" ca="1" si="0"/>
        <v>Ellis 138 kV</v>
      </c>
      <c r="D30" s="178">
        <f t="shared" ca="1" si="0"/>
        <v>2013</v>
      </c>
      <c r="E30" s="188">
        <v>0</v>
      </c>
      <c r="F30" s="189">
        <f t="shared" ca="1" si="0"/>
        <v>0</v>
      </c>
      <c r="G30" s="189">
        <f t="shared" ca="1" si="10"/>
        <v>0</v>
      </c>
      <c r="H30" s="190"/>
      <c r="I30" s="182">
        <f t="shared" ca="1" si="2"/>
        <v>0</v>
      </c>
      <c r="J30" s="719">
        <v>-43973.105506726228</v>
      </c>
      <c r="K30" s="183">
        <f t="shared" si="9"/>
        <v>-46464.272338471921</v>
      </c>
      <c r="L30" s="188">
        <f t="shared" si="11"/>
        <v>2491.1668317456933</v>
      </c>
      <c r="M30" s="188"/>
      <c r="N30" s="189">
        <v>0</v>
      </c>
      <c r="O30" s="189">
        <v>0</v>
      </c>
      <c r="P30" s="180"/>
      <c r="Q30" s="191">
        <f t="shared" ca="1" si="7"/>
        <v>448.6784651834912</v>
      </c>
      <c r="R30" s="192">
        <f t="shared" ca="1" si="12"/>
        <v>2939.8452969291848</v>
      </c>
      <c r="S30" s="192"/>
      <c r="T30" s="193">
        <f t="shared" ca="1" si="13"/>
        <v>2939.8452969291848</v>
      </c>
      <c r="U30" s="723">
        <v>43973.105506726228</v>
      </c>
      <c r="V30" s="186">
        <f t="shared" ca="1" si="14"/>
        <v>2491.1668317456933</v>
      </c>
      <c r="W30" s="145" t="str">
        <f t="shared" si="15"/>
        <v>OKT.013</v>
      </c>
    </row>
    <row r="31" spans="1:23" ht="13">
      <c r="A31" s="194" t="s">
        <v>236</v>
      </c>
      <c r="B31" s="153" t="s">
        <v>182</v>
      </c>
      <c r="C31" s="177" t="str">
        <f t="shared" ca="1" si="0"/>
        <v>Valliant-NW Texarkana 345 kV</v>
      </c>
      <c r="D31" s="178">
        <f t="shared" ca="1" si="0"/>
        <v>2016</v>
      </c>
      <c r="E31" s="188">
        <v>0</v>
      </c>
      <c r="F31" s="189">
        <f t="shared" ca="1" si="0"/>
        <v>0</v>
      </c>
      <c r="G31" s="189">
        <f ca="1">+E31+F31</f>
        <v>0</v>
      </c>
      <c r="H31" s="190"/>
      <c r="I31" s="182">
        <f t="shared" ca="1" si="2"/>
        <v>665102.04312264174</v>
      </c>
      <c r="J31" s="719">
        <v>8837563.1962683685</v>
      </c>
      <c r="K31" s="183">
        <f t="shared" si="9"/>
        <v>9338229.3205800261</v>
      </c>
      <c r="L31" s="188">
        <f t="shared" ref="L31:L37" si="16">+J31-K31</f>
        <v>-500666.12431165762</v>
      </c>
      <c r="M31" s="188"/>
      <c r="N31" s="189">
        <v>0</v>
      </c>
      <c r="O31" s="189">
        <v>0</v>
      </c>
      <c r="P31" s="180"/>
      <c r="Q31" s="191">
        <f t="shared" ca="1" si="7"/>
        <v>29616.184164369573</v>
      </c>
      <c r="R31" s="192">
        <f t="shared" ref="R31:R37" ca="1" si="17">I31+L31+P31+Q31</f>
        <v>194052.10297535369</v>
      </c>
      <c r="S31" s="192"/>
      <c r="T31" s="193">
        <f t="shared" ref="T31:T37" ca="1" si="18">+G31+R31</f>
        <v>194052.10297535369</v>
      </c>
      <c r="U31" s="723">
        <v>-383199.66294292855</v>
      </c>
      <c r="V31" s="186">
        <f t="shared" ref="V31:V37" ca="1" si="19">+I31+L31+P31</f>
        <v>164435.91881098412</v>
      </c>
      <c r="W31" s="145" t="str">
        <f t="shared" ref="W31:W36" si="20">A31</f>
        <v>OKT.014</v>
      </c>
    </row>
    <row r="32" spans="1:23" ht="13">
      <c r="A32" s="194" t="s">
        <v>239</v>
      </c>
      <c r="B32" s="153" t="s">
        <v>182</v>
      </c>
      <c r="C32" s="177" t="str">
        <f t="shared" ca="1" si="0"/>
        <v>Darlington Roman Nose 138 kv</v>
      </c>
      <c r="D32" s="178">
        <f t="shared" ca="1" si="0"/>
        <v>2017</v>
      </c>
      <c r="E32" s="188">
        <v>0</v>
      </c>
      <c r="F32" s="189">
        <f t="shared" ca="1" si="0"/>
        <v>0</v>
      </c>
      <c r="G32" s="189">
        <f ca="1">+E32+F32</f>
        <v>0</v>
      </c>
      <c r="H32" s="190"/>
      <c r="I32" s="182">
        <f t="shared" ca="1" si="2"/>
        <v>135633.60188355995</v>
      </c>
      <c r="J32" s="719">
        <v>1472944.9612012403</v>
      </c>
      <c r="K32" s="183">
        <f t="shared" si="9"/>
        <v>1556390.3214969833</v>
      </c>
      <c r="L32" s="188">
        <f t="shared" si="16"/>
        <v>-83445.360295742983</v>
      </c>
      <c r="M32" s="188"/>
      <c r="N32" s="189">
        <v>0</v>
      </c>
      <c r="O32" s="189">
        <v>0</v>
      </c>
      <c r="P32" s="180"/>
      <c r="Q32" s="191">
        <f t="shared" ca="1" si="7"/>
        <v>9399.5070253236754</v>
      </c>
      <c r="R32" s="192">
        <f t="shared" ca="1" si="17"/>
        <v>61587.748613140648</v>
      </c>
      <c r="S32" s="192"/>
      <c r="T32" s="193">
        <f t="shared" ca="1" si="18"/>
        <v>61587.748613140648</v>
      </c>
      <c r="U32" s="723">
        <v>-89899.465630450868</v>
      </c>
      <c r="V32" s="186">
        <f t="shared" ca="1" si="19"/>
        <v>52188.24158781697</v>
      </c>
      <c r="W32" s="145" t="str">
        <f t="shared" si="20"/>
        <v>OKT.015</v>
      </c>
    </row>
    <row r="33" spans="1:23" ht="13">
      <c r="A33" s="194" t="s">
        <v>248</v>
      </c>
      <c r="B33" s="153" t="s">
        <v>182</v>
      </c>
      <c r="C33" s="177" t="str">
        <f t="shared" ca="1" si="0"/>
        <v>Carnegie South-Southwestern 123 kv line rebuild</v>
      </c>
      <c r="D33" s="178">
        <f t="shared" ca="1" si="0"/>
        <v>2017</v>
      </c>
      <c r="E33" s="188">
        <v>0</v>
      </c>
      <c r="F33" s="189">
        <f t="shared" ca="1" si="0"/>
        <v>0</v>
      </c>
      <c r="G33" s="189">
        <f ca="1">+E33+F33</f>
        <v>0</v>
      </c>
      <c r="H33" s="190"/>
      <c r="I33" s="182">
        <f t="shared" ca="1" si="2"/>
        <v>116829.25714804349</v>
      </c>
      <c r="J33" s="719">
        <v>1284138.0278244833</v>
      </c>
      <c r="K33" s="183">
        <f>J33/(J$41)*K$41</f>
        <v>1356887.0871741888</v>
      </c>
      <c r="L33" s="188">
        <f t="shared" si="16"/>
        <v>-72749.059349705465</v>
      </c>
      <c r="M33" s="188"/>
      <c r="N33" s="189">
        <v>0</v>
      </c>
      <c r="O33" s="189">
        <v>0</v>
      </c>
      <c r="P33" s="180"/>
      <c r="Q33" s="191">
        <f t="shared" ca="1" si="7"/>
        <v>7939.18546165117</v>
      </c>
      <c r="R33" s="192">
        <f t="shared" ca="1" si="17"/>
        <v>52019.38325998919</v>
      </c>
      <c r="S33" s="192"/>
      <c r="T33" s="193">
        <f t="shared" ca="1" si="18"/>
        <v>52019.38325998919</v>
      </c>
      <c r="U33" s="723">
        <v>-71915.627213752392</v>
      </c>
      <c r="V33" s="186">
        <f t="shared" ca="1" si="19"/>
        <v>44080.19779833802</v>
      </c>
      <c r="W33" s="145" t="str">
        <f t="shared" si="20"/>
        <v>OKT.016</v>
      </c>
    </row>
    <row r="34" spans="1:23" ht="13">
      <c r="A34" s="194" t="s">
        <v>249</v>
      </c>
      <c r="B34" s="153" t="s">
        <v>182</v>
      </c>
      <c r="C34" s="177" t="str">
        <f t="shared" ca="1" si="0"/>
        <v>Chisholm - Gracemont 345 kv line and station</v>
      </c>
      <c r="D34" s="178">
        <f t="shared" ca="1" si="0"/>
        <v>2017</v>
      </c>
      <c r="E34" s="188">
        <v>0</v>
      </c>
      <c r="F34" s="189">
        <f t="shared" ca="1" si="0"/>
        <v>0</v>
      </c>
      <c r="G34" s="189">
        <f ca="1">+E34+F34</f>
        <v>0</v>
      </c>
      <c r="H34" s="190"/>
      <c r="I34" s="182">
        <f t="shared" ca="1" si="2"/>
        <v>1167917.4144429006</v>
      </c>
      <c r="J34" s="719">
        <v>11810076.876172114</v>
      </c>
      <c r="K34" s="183">
        <f t="shared" si="9"/>
        <v>12479142.01167378</v>
      </c>
      <c r="L34" s="188">
        <f t="shared" si="16"/>
        <v>-669065.13550166599</v>
      </c>
      <c r="M34" s="188"/>
      <c r="N34" s="189">
        <v>0</v>
      </c>
      <c r="O34" s="189">
        <v>0</v>
      </c>
      <c r="P34" s="180"/>
      <c r="Q34" s="191">
        <f t="shared" ca="1" si="7"/>
        <v>89847.163994149028</v>
      </c>
      <c r="R34" s="192">
        <f t="shared" ca="1" si="17"/>
        <v>588699.44293538365</v>
      </c>
      <c r="S34" s="192"/>
      <c r="T34" s="193">
        <f t="shared" ca="1" si="18"/>
        <v>588699.44293538365</v>
      </c>
      <c r="U34" s="723">
        <v>-747487.992380696</v>
      </c>
      <c r="V34" s="186">
        <f t="shared" ca="1" si="19"/>
        <v>498852.27894123457</v>
      </c>
      <c r="W34" s="145" t="str">
        <f t="shared" si="20"/>
        <v>OKT.017</v>
      </c>
    </row>
    <row r="35" spans="1:23" ht="13">
      <c r="A35" s="194" t="s">
        <v>265</v>
      </c>
      <c r="B35" s="153" t="s">
        <v>182</v>
      </c>
      <c r="C35" s="177" t="str">
        <f t="shared" ca="1" si="0"/>
        <v>Fort Towson-Valliant 69 KV Line Rebuild</v>
      </c>
      <c r="D35" s="178">
        <f t="shared" ca="1" si="0"/>
        <v>2018</v>
      </c>
      <c r="E35" s="188">
        <v>0</v>
      </c>
      <c r="F35" s="189">
        <f t="shared" ca="1" si="0"/>
        <v>0</v>
      </c>
      <c r="G35" s="189">
        <f ca="1">+E35+F35</f>
        <v>0</v>
      </c>
      <c r="H35" s="190"/>
      <c r="I35" s="182">
        <f t="shared" ca="1" si="2"/>
        <v>119718.09796177689</v>
      </c>
      <c r="J35" s="719">
        <v>1358806.1996233906</v>
      </c>
      <c r="K35" s="183">
        <f t="shared" si="9"/>
        <v>1435785.364416617</v>
      </c>
      <c r="L35" s="188">
        <f t="shared" si="16"/>
        <v>-76979.164793226402</v>
      </c>
      <c r="M35" s="188"/>
      <c r="N35" s="189">
        <v>0</v>
      </c>
      <c r="O35" s="189">
        <v>0</v>
      </c>
      <c r="P35" s="180"/>
      <c r="Q35" s="191">
        <f t="shared" ca="1" si="7"/>
        <v>7697.6133004337435</v>
      </c>
      <c r="R35" s="192">
        <f t="shared" ca="1" si="17"/>
        <v>50436.546468984234</v>
      </c>
      <c r="S35" s="192"/>
      <c r="T35" s="193">
        <f t="shared" ca="1" si="18"/>
        <v>50436.546468984234</v>
      </c>
      <c r="U35" s="723">
        <v>-227455.17368614295</v>
      </c>
      <c r="V35" s="186">
        <f t="shared" ca="1" si="19"/>
        <v>42738.933168550488</v>
      </c>
      <c r="W35" s="145" t="str">
        <f t="shared" si="20"/>
        <v>OKT.018</v>
      </c>
    </row>
    <row r="36" spans="1:23" ht="13">
      <c r="A36" s="194" t="s">
        <v>288</v>
      </c>
      <c r="B36" s="153" t="s">
        <v>182</v>
      </c>
      <c r="C36" s="177" t="str">
        <f t="shared" ca="1" si="0"/>
        <v>Duncan-Comanche Tap 69 KV Rebuild</v>
      </c>
      <c r="D36" s="178">
        <f t="shared" ca="1" si="0"/>
        <v>2018</v>
      </c>
      <c r="E36" s="188"/>
      <c r="F36" s="189"/>
      <c r="G36" s="189"/>
      <c r="H36" s="190"/>
      <c r="I36" s="182">
        <f t="shared" ca="1" si="2"/>
        <v>98395.608448410872</v>
      </c>
      <c r="J36" s="719">
        <v>2320249.8872804423</v>
      </c>
      <c r="K36" s="183">
        <f t="shared" si="9"/>
        <v>2451696.8136220579</v>
      </c>
      <c r="L36" s="188">
        <f t="shared" si="16"/>
        <v>-131446.92634161562</v>
      </c>
      <c r="M36" s="188"/>
      <c r="N36" s="189">
        <v>0</v>
      </c>
      <c r="O36" s="189">
        <v>0</v>
      </c>
      <c r="P36" s="180"/>
      <c r="Q36" s="191">
        <f ca="1">+V36/$V$41 * $Q$41</f>
        <v>-5952.7986627146147</v>
      </c>
      <c r="R36" s="192">
        <f t="shared" ca="1" si="17"/>
        <v>-39004.116555919361</v>
      </c>
      <c r="S36" s="192"/>
      <c r="T36" s="193">
        <f t="shared" ca="1" si="18"/>
        <v>-39004.116555919361</v>
      </c>
      <c r="U36" s="723">
        <v>-59353.94159718736</v>
      </c>
      <c r="V36" s="186">
        <f t="shared" ca="1" si="19"/>
        <v>-33051.317893204745</v>
      </c>
      <c r="W36" s="145" t="str">
        <f t="shared" si="20"/>
        <v>OKT.019</v>
      </c>
    </row>
    <row r="37" spans="1:23" ht="13">
      <c r="A37" s="194" t="s">
        <v>292</v>
      </c>
      <c r="B37" s="153" t="s">
        <v>182</v>
      </c>
      <c r="C37" s="177" t="str">
        <f t="shared" ca="1" si="0"/>
        <v>Keystone Dam - Wekiwa 138 kV</v>
      </c>
      <c r="D37" s="178">
        <v>2020</v>
      </c>
      <c r="E37" s="188"/>
      <c r="F37" s="189"/>
      <c r="G37" s="189"/>
      <c r="H37" s="190"/>
      <c r="I37" s="182">
        <f t="shared" ca="1" si="2"/>
        <v>69806.490398171474</v>
      </c>
      <c r="J37" s="719">
        <v>459485.21156498289</v>
      </c>
      <c r="K37" s="183">
        <f t="shared" si="9"/>
        <v>485515.99346082262</v>
      </c>
      <c r="L37" s="188">
        <f t="shared" si="16"/>
        <v>-26030.781895839726</v>
      </c>
      <c r="M37" s="188"/>
      <c r="N37" s="189">
        <v>0</v>
      </c>
      <c r="O37" s="189">
        <v>0</v>
      </c>
      <c r="P37" s="180"/>
      <c r="Q37" s="191">
        <f ca="1">+V37/$V$41 * $Q$41</f>
        <v>7884.3445781519458</v>
      </c>
      <c r="R37" s="192">
        <f t="shared" ca="1" si="17"/>
        <v>51660.053080483696</v>
      </c>
      <c r="S37" s="192"/>
      <c r="T37" s="193">
        <f t="shared" ca="1" si="18"/>
        <v>51660.053080483696</v>
      </c>
      <c r="U37" s="723">
        <v>23951.810205145637</v>
      </c>
      <c r="V37" s="186">
        <f t="shared" ca="1" si="19"/>
        <v>43775.708502331749</v>
      </c>
      <c r="W37" s="145" t="s">
        <v>292</v>
      </c>
    </row>
    <row r="38" spans="1:23" ht="13">
      <c r="A38" s="194" t="s">
        <v>300</v>
      </c>
      <c r="B38" s="153" t="s">
        <v>182</v>
      </c>
      <c r="C38" s="177" t="str">
        <f t="shared" ca="1" si="0"/>
        <v>Tulsa SE - S Hudson 138 kV</v>
      </c>
      <c r="D38" s="178">
        <v>2020</v>
      </c>
      <c r="E38" s="188"/>
      <c r="F38" s="189"/>
      <c r="G38" s="189"/>
      <c r="H38" s="190"/>
      <c r="I38" s="182">
        <f t="shared" ca="1" si="2"/>
        <v>-262487.77871730051</v>
      </c>
      <c r="J38" s="719">
        <v>881618.42255373427</v>
      </c>
      <c r="K38" s="183">
        <f t="shared" ref="K38" si="21">J38/(J$41)*K$41</f>
        <v>931563.91872038285</v>
      </c>
      <c r="L38" s="188">
        <f t="shared" ref="L38" si="22">+J38-K38</f>
        <v>-49945.496166648576</v>
      </c>
      <c r="M38" s="188"/>
      <c r="N38" s="189">
        <v>0</v>
      </c>
      <c r="O38" s="189">
        <v>0</v>
      </c>
      <c r="P38" s="180"/>
      <c r="Q38" s="191">
        <f ca="1">+V38/$V$41 * $Q$41</f>
        <v>-56271.655699971343</v>
      </c>
      <c r="R38" s="192">
        <f t="shared" ref="R38" ca="1" si="23">I38+L38+P38+Q38</f>
        <v>-368704.93058392045</v>
      </c>
      <c r="S38" s="192"/>
      <c r="T38" s="193">
        <f t="shared" ref="T38" ca="1" si="24">+G38+R38</f>
        <v>-368704.93058392045</v>
      </c>
      <c r="V38" s="186">
        <f t="shared" ref="V38" ca="1" si="25">+I38+L38+P38</f>
        <v>-312433.27488394908</v>
      </c>
      <c r="W38" s="145" t="s">
        <v>300</v>
      </c>
    </row>
    <row r="39" spans="1:23" ht="13">
      <c r="A39" s="194" t="s">
        <v>301</v>
      </c>
      <c r="B39" s="153" t="s">
        <v>182</v>
      </c>
      <c r="C39" s="177" t="str">
        <f t="shared" ca="1" si="0"/>
        <v>Pryor Junction 138/115 kV</v>
      </c>
      <c r="D39" s="178">
        <v>2020</v>
      </c>
      <c r="E39" s="188"/>
      <c r="F39" s="189"/>
      <c r="G39" s="189"/>
      <c r="H39" s="190"/>
      <c r="I39" s="182">
        <f t="shared" ca="1" si="2"/>
        <v>112443.97072403017</v>
      </c>
      <c r="J39" s="719">
        <v>945957.92644739733</v>
      </c>
      <c r="K39" s="183">
        <f t="shared" ref="K39" si="26">J39/(J$41)*K$41</f>
        <v>999548.38778591319</v>
      </c>
      <c r="L39" s="188">
        <f t="shared" ref="L39" si="27">+J39-K39</f>
        <v>-53590.461338515859</v>
      </c>
      <c r="M39" s="188"/>
      <c r="N39" s="189">
        <v>0</v>
      </c>
      <c r="O39" s="189">
        <v>0</v>
      </c>
      <c r="P39" s="180"/>
      <c r="Q39" s="191">
        <f ca="1">+V39/$V$41 * $Q$41</f>
        <v>10599.973444271676</v>
      </c>
      <c r="R39" s="192">
        <f t="shared" ref="R39" ca="1" si="28">I39+L39+P39+Q39</f>
        <v>69453.482829785979</v>
      </c>
      <c r="S39" s="192"/>
      <c r="T39" s="193">
        <f t="shared" ref="T39" ca="1" si="29">+G39+R39</f>
        <v>69453.482829785979</v>
      </c>
      <c r="V39" s="186">
        <f t="shared" ref="V39" ca="1" si="30">+I39+L39+P39</f>
        <v>58853.509385514306</v>
      </c>
      <c r="W39" s="145" t="s">
        <v>301</v>
      </c>
    </row>
    <row r="40" spans="1:23" ht="13">
      <c r="A40" s="156"/>
      <c r="B40" s="156"/>
      <c r="C40" s="156"/>
      <c r="D40" s="153"/>
      <c r="E40" s="192"/>
      <c r="F40" s="192"/>
      <c r="G40" s="192"/>
      <c r="H40" s="184"/>
      <c r="I40" s="192"/>
      <c r="J40" s="192"/>
      <c r="K40" s="195"/>
      <c r="L40" s="192"/>
      <c r="M40" s="192"/>
      <c r="N40" s="192"/>
      <c r="O40" s="192"/>
      <c r="P40" s="192"/>
      <c r="Q40" s="192"/>
      <c r="R40" s="192"/>
      <c r="S40" s="184"/>
      <c r="T40" s="193"/>
      <c r="V40" s="176"/>
    </row>
    <row r="41" spans="1:23" ht="13">
      <c r="A41" s="156"/>
      <c r="B41" s="156"/>
      <c r="C41" s="196" t="s">
        <v>183</v>
      </c>
      <c r="D41" s="197"/>
      <c r="E41" s="198">
        <f>SUM(E18:E40)</f>
        <v>0</v>
      </c>
      <c r="F41" s="198">
        <f ca="1">SUM(F18:F40)</f>
        <v>0</v>
      </c>
      <c r="G41" s="198">
        <f ca="1">SUM(G18:G40)</f>
        <v>0</v>
      </c>
      <c r="H41" s="198"/>
      <c r="I41" s="198">
        <f ca="1">SUM(I18:I40)</f>
        <v>3475919.0500165354</v>
      </c>
      <c r="J41" s="198">
        <f>SUM(J18:J40)</f>
        <v>42408639.267130688</v>
      </c>
      <c r="K41" s="718">
        <v>44811175.870000005</v>
      </c>
      <c r="L41" s="198">
        <f>SUM(L18:L40)</f>
        <v>-2402536.6028693174</v>
      </c>
      <c r="M41" s="198"/>
      <c r="N41" s="198">
        <f>SUM(N18:N40)</f>
        <v>0</v>
      </c>
      <c r="O41" s="198">
        <f>SUM(O18:O40)</f>
        <v>0</v>
      </c>
      <c r="P41" s="198">
        <f>SUM(P18:P40)</f>
        <v>0</v>
      </c>
      <c r="Q41" s="199">
        <v>193324.50272044935</v>
      </c>
      <c r="R41" s="198">
        <f ca="1">SUM(R18:R40)</f>
        <v>1266706.9498676672</v>
      </c>
      <c r="S41" s="198"/>
      <c r="T41" s="198">
        <f ca="1">SUM(T18:T40)</f>
        <v>1266706.9498676672</v>
      </c>
      <c r="U41" s="198">
        <f>SUM(U18:U40)</f>
        <v>-2386868.1066984925</v>
      </c>
      <c r="V41" s="200">
        <f ca="1">SUM(V18:V40)</f>
        <v>1073382.4471472176</v>
      </c>
      <c r="W41" s="201" t="s">
        <v>180</v>
      </c>
    </row>
    <row r="42" spans="1:23" ht="13.5" thickBot="1">
      <c r="A42" s="156"/>
      <c r="B42" s="156"/>
      <c r="C42" s="202"/>
      <c r="D42" s="156"/>
      <c r="E42" s="203"/>
      <c r="F42" s="204" t="str">
        <f ca="1">IF(F41='OKT.WS.F.BPU.ATRR.Projected'!O19,"","Error")</f>
        <v/>
      </c>
      <c r="G42" s="205"/>
      <c r="H42" s="156"/>
      <c r="J42" s="206"/>
      <c r="K42" s="207"/>
      <c r="L42" s="207"/>
      <c r="M42" s="207"/>
      <c r="N42" s="207"/>
      <c r="O42" s="207"/>
      <c r="P42" s="207"/>
      <c r="Q42" s="207"/>
      <c r="R42" s="184"/>
      <c r="S42" s="184"/>
      <c r="T42" s="184"/>
      <c r="V42" s="208"/>
      <c r="W42" s="201"/>
    </row>
    <row r="43" spans="1:23" ht="12.5">
      <c r="A43" s="156"/>
      <c r="B43" s="156"/>
      <c r="C43" s="209" t="s">
        <v>212</v>
      </c>
      <c r="D43" s="156"/>
      <c r="E43" s="184"/>
      <c r="F43" s="184"/>
      <c r="G43" s="184"/>
      <c r="H43" s="156"/>
      <c r="I43" s="210"/>
      <c r="J43" s="210"/>
      <c r="K43" s="156" t="s">
        <v>289</v>
      </c>
      <c r="L43" s="156"/>
      <c r="M43" s="156"/>
      <c r="N43" s="207"/>
      <c r="O43" s="207"/>
      <c r="P43" s="207"/>
      <c r="Q43" s="207"/>
      <c r="R43" s="184"/>
      <c r="S43" s="184"/>
      <c r="T43" s="184"/>
    </row>
    <row r="44" spans="1:23" ht="12.5">
      <c r="A44" s="156"/>
      <c r="B44" s="156"/>
      <c r="C44" s="211" t="s">
        <v>157</v>
      </c>
      <c r="D44" s="156"/>
      <c r="E44" s="184"/>
      <c r="F44" s="184"/>
      <c r="G44" s="184"/>
      <c r="H44" s="156"/>
      <c r="J44" s="212"/>
      <c r="L44" s="156"/>
      <c r="M44" s="156"/>
      <c r="N44" s="207"/>
      <c r="O44" s="207"/>
      <c r="P44" s="207"/>
      <c r="Q44" s="207"/>
      <c r="R44" s="207"/>
      <c r="S44" s="156"/>
      <c r="T44" s="156"/>
    </row>
    <row r="45" spans="1:23" ht="12.5">
      <c r="E45" s="213"/>
      <c r="F45" s="213"/>
      <c r="G45" s="213"/>
      <c r="I45" s="213"/>
      <c r="J45" s="214"/>
      <c r="N45" s="215"/>
      <c r="O45" s="215"/>
      <c r="P45" s="215"/>
      <c r="Q45" s="215"/>
      <c r="R45" s="215"/>
    </row>
    <row r="46" spans="1:23" ht="12.5">
      <c r="E46" s="213"/>
      <c r="F46" s="213"/>
      <c r="G46" s="213"/>
    </row>
    <row r="47" spans="1:23" ht="12.5">
      <c r="A47" s="216" t="s">
        <v>158</v>
      </c>
      <c r="B47" s="217"/>
      <c r="C47" s="217"/>
      <c r="D47" s="217"/>
      <c r="E47" s="218"/>
      <c r="F47" s="218"/>
      <c r="G47" s="218"/>
      <c r="H47" s="217"/>
      <c r="I47" s="217"/>
      <c r="J47" s="217"/>
      <c r="K47" s="217"/>
      <c r="L47" s="217"/>
      <c r="M47" s="217"/>
      <c r="N47" s="217"/>
      <c r="O47" s="219"/>
      <c r="V47" s="145" t="s">
        <v>171</v>
      </c>
    </row>
    <row r="48" spans="1:23" ht="15.5">
      <c r="A48" s="220" t="s">
        <v>161</v>
      </c>
      <c r="B48" s="221"/>
      <c r="C48" s="222" t="str">
        <f ca="1">RIGHT(CELL("address",OKT.001!D7),4)</f>
        <v>$D$7</v>
      </c>
      <c r="D48" s="222" t="str">
        <f ca="1">RIGHT(CELL("address",OKT.001!D11),4)</f>
        <v>D$11</v>
      </c>
      <c r="E48" s="222" t="str">
        <f ca="1">RIGHT(CELL("address",OKT.001!N5),4)</f>
        <v>$N$5</v>
      </c>
      <c r="F48" s="222" t="str">
        <f ca="1">RIGHT(CELL("address",OKT.001!N7),4)</f>
        <v>$N$7</v>
      </c>
      <c r="G48" s="221"/>
      <c r="H48" s="223"/>
      <c r="I48" s="222" t="str">
        <f ca="1">RIGHT(CELL("address",OKT.001!M90),4)</f>
        <v>M$90</v>
      </c>
      <c r="J48" s="222"/>
      <c r="K48" s="221"/>
      <c r="L48" s="221"/>
      <c r="M48" s="221"/>
      <c r="N48" s="222" t="str">
        <f ca="1">RIGHT(CELL("address",OKT.001!N88),4)</f>
        <v>N$88</v>
      </c>
      <c r="O48" s="224" t="str">
        <f ca="1">RIGHT(CELL("address",OKT.001!N89),4)</f>
        <v>N$89</v>
      </c>
      <c r="P48" s="175" t="s">
        <v>160</v>
      </c>
      <c r="V48" s="145" t="s">
        <v>172</v>
      </c>
    </row>
    <row r="49" spans="1:22" ht="12.5">
      <c r="A49" s="225" t="s">
        <v>162</v>
      </c>
      <c r="B49" s="226"/>
      <c r="C49" s="226"/>
      <c r="D49" s="226"/>
      <c r="E49" s="227"/>
      <c r="F49" s="227"/>
      <c r="G49" s="227"/>
      <c r="H49" s="226"/>
      <c r="I49" s="226"/>
      <c r="J49" s="226"/>
      <c r="K49" s="226"/>
      <c r="L49" s="226"/>
      <c r="M49" s="226"/>
      <c r="N49" s="226"/>
      <c r="O49" s="228"/>
      <c r="V49" s="145" t="s">
        <v>173</v>
      </c>
    </row>
    <row r="50" spans="1:22" ht="12.5">
      <c r="E50" s="213"/>
      <c r="F50" s="213"/>
      <c r="G50" s="213"/>
      <c r="V50" s="145" t="s">
        <v>174</v>
      </c>
    </row>
    <row r="51" spans="1:22" ht="12.5">
      <c r="E51" s="213"/>
      <c r="F51" s="213"/>
      <c r="G51" s="213"/>
      <c r="V51" s="145" t="s">
        <v>175</v>
      </c>
    </row>
    <row r="56" spans="1:22" ht="12.75" customHeight="1">
      <c r="G56" s="157"/>
      <c r="I56" s="229"/>
      <c r="J56" s="229"/>
    </row>
    <row r="57" spans="1:22" ht="12.75" customHeight="1">
      <c r="E57" s="230"/>
      <c r="F57" s="230"/>
      <c r="G57" s="231"/>
      <c r="I57" s="230"/>
      <c r="J57" s="232"/>
    </row>
    <row r="58" spans="1:22" ht="12.75" customHeight="1">
      <c r="E58" s="230"/>
      <c r="F58" s="230"/>
      <c r="G58" s="231"/>
      <c r="I58" s="230"/>
      <c r="J58" s="232"/>
    </row>
    <row r="59" spans="1:22" ht="12.75" customHeight="1">
      <c r="E59" s="230"/>
      <c r="F59" s="230"/>
      <c r="G59" s="231"/>
      <c r="I59" s="230"/>
      <c r="J59" s="232"/>
    </row>
    <row r="60" spans="1:22" ht="12.75" customHeight="1">
      <c r="E60" s="230"/>
      <c r="F60" s="230"/>
      <c r="G60" s="231"/>
      <c r="I60" s="230"/>
      <c r="J60" s="232"/>
    </row>
    <row r="61" spans="1:22" ht="12.75" customHeight="1">
      <c r="E61" s="230"/>
      <c r="F61" s="230"/>
      <c r="G61" s="231"/>
      <c r="I61" s="230"/>
      <c r="J61" s="232"/>
    </row>
    <row r="62" spans="1:22" ht="12.75" customHeight="1">
      <c r="E62" s="230"/>
      <c r="F62" s="230"/>
      <c r="G62" s="231"/>
      <c r="I62" s="230"/>
      <c r="J62" s="232"/>
    </row>
    <row r="63" spans="1:22" ht="12.75" customHeight="1">
      <c r="E63" s="230"/>
      <c r="F63" s="230"/>
      <c r="G63" s="231"/>
      <c r="I63" s="230"/>
      <c r="J63" s="232"/>
    </row>
    <row r="64" spans="1:22" ht="12.75" customHeight="1">
      <c r="E64" s="230"/>
      <c r="F64" s="230"/>
      <c r="G64" s="231"/>
      <c r="I64" s="230"/>
      <c r="J64" s="232"/>
    </row>
    <row r="65" spans="5:10" ht="12.75" customHeight="1">
      <c r="E65" s="230"/>
      <c r="F65" s="230"/>
      <c r="G65" s="231"/>
      <c r="I65" s="230"/>
      <c r="J65" s="232"/>
    </row>
    <row r="66" spans="5:10" ht="12.75" customHeight="1">
      <c r="E66" s="230"/>
      <c r="F66" s="230"/>
      <c r="G66" s="231"/>
      <c r="I66" s="230"/>
      <c r="J66" s="232"/>
    </row>
    <row r="67" spans="5:10" ht="12.75" customHeight="1">
      <c r="E67" s="230"/>
      <c r="F67" s="230"/>
      <c r="G67" s="231"/>
      <c r="I67" s="230"/>
      <c r="J67" s="232"/>
    </row>
    <row r="68" spans="5:10" ht="12.75" customHeight="1">
      <c r="E68" s="230"/>
      <c r="F68" s="230"/>
      <c r="G68" s="231"/>
      <c r="I68" s="230"/>
      <c r="J68" s="232"/>
    </row>
    <row r="69" spans="5:10" ht="12.75" customHeight="1">
      <c r="E69" s="230"/>
      <c r="F69" s="230"/>
      <c r="G69" s="231"/>
      <c r="I69" s="230"/>
      <c r="J69" s="232"/>
    </row>
    <row r="70" spans="5:10" ht="12.75" customHeight="1">
      <c r="E70" s="230"/>
      <c r="F70" s="230"/>
      <c r="G70" s="231"/>
      <c r="I70" s="230"/>
      <c r="J70" s="232"/>
    </row>
    <row r="71" spans="5:10" ht="12.75" customHeight="1">
      <c r="E71" s="230"/>
      <c r="F71" s="230"/>
      <c r="G71" s="231"/>
      <c r="I71" s="230"/>
      <c r="J71" s="232"/>
    </row>
    <row r="72" spans="5:10" ht="12.75" customHeight="1">
      <c r="E72" s="230"/>
      <c r="F72" s="230"/>
      <c r="G72" s="231"/>
      <c r="I72" s="230"/>
      <c r="J72" s="232"/>
    </row>
    <row r="73" spans="5:10" ht="12.75" customHeight="1">
      <c r="E73" s="230"/>
      <c r="F73" s="230"/>
      <c r="G73" s="231"/>
      <c r="I73" s="230"/>
      <c r="J73" s="232"/>
    </row>
    <row r="74" spans="5:10" ht="12.75" customHeight="1">
      <c r="E74" s="230"/>
      <c r="F74" s="230"/>
      <c r="G74" s="231"/>
      <c r="I74" s="230"/>
      <c r="J74" s="232"/>
    </row>
    <row r="75" spans="5:10" ht="12.75" customHeight="1">
      <c r="E75" s="230"/>
      <c r="F75" s="230"/>
      <c r="G75" s="231"/>
      <c r="I75" s="230"/>
      <c r="J75" s="232"/>
    </row>
    <row r="76" spans="5:10" ht="12.75" customHeight="1">
      <c r="E76" s="230"/>
      <c r="F76" s="230"/>
      <c r="I76" s="230"/>
      <c r="J76" s="232"/>
    </row>
    <row r="77" spans="5:10" ht="12.75" customHeight="1">
      <c r="E77" s="230"/>
      <c r="F77" s="230"/>
      <c r="G77" s="231"/>
      <c r="I77" s="230"/>
      <c r="J77" s="232"/>
    </row>
  </sheetData>
  <mergeCells count="2">
    <mergeCell ref="E13:G13"/>
    <mergeCell ref="T14:T16"/>
  </mergeCells>
  <phoneticPr fontId="62" type="noConversion"/>
  <pageMargins left="0.5" right="0.5" top="1" bottom="1" header="0.65" footer="0.5"/>
  <pageSetup scale="52" orientation="landscape" r:id="rId1"/>
  <headerFooter alignWithMargins="0">
    <oddHeader xml:space="preserve">&amp;R&amp;16AEPTCo - SPP Formula Rate
Schedule 11 Revenue Requirements
&amp;A
Page: &amp;P of &amp;N
</oddHeader>
    <oddFooter>&amp;L&amp;A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9"/>
  <dimension ref="A1:U163"/>
  <sheetViews>
    <sheetView view="pageBreakPreview" topLeftCell="A69" zoomScale="80" zoomScaleNormal="100" zoomScaleSheetLayoutView="80"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8.54296875" style="145" customWidth="1"/>
    <col min="11" max="11" width="17.7265625" style="145" customWidth="1"/>
    <col min="12" max="12" width="16.1796875" style="145" customWidth="1"/>
    <col min="13" max="13" width="18.7265625" style="145" customWidth="1"/>
    <col min="14" max="14" width="20.453125" style="145" customWidth="1"/>
    <col min="15" max="15" width="20"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7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1248535.8805302577</v>
      </c>
      <c r="P5" s="244"/>
      <c r="R5" s="244"/>
      <c r="S5" s="244"/>
      <c r="T5" s="244"/>
      <c r="U5" s="244"/>
    </row>
    <row r="6" spans="1:21" ht="15.5">
      <c r="C6" s="236"/>
      <c r="D6" s="293"/>
      <c r="E6" s="244"/>
      <c r="F6" s="244"/>
      <c r="G6" s="244"/>
      <c r="H6" s="450"/>
      <c r="I6" s="450"/>
      <c r="J6" s="451"/>
      <c r="K6" s="452" t="s">
        <v>243</v>
      </c>
      <c r="L6" s="453"/>
      <c r="M6" s="279"/>
      <c r="N6" s="454">
        <f>VLOOKUP(I10,C17:I73,6)</f>
        <v>1248535.8805302577</v>
      </c>
      <c r="O6" s="244"/>
      <c r="P6" s="244"/>
      <c r="R6" s="244"/>
      <c r="S6" s="244"/>
      <c r="T6" s="244"/>
      <c r="U6" s="244"/>
    </row>
    <row r="7" spans="1:21" ht="13.5" thickBot="1">
      <c r="C7" s="455" t="s">
        <v>46</v>
      </c>
      <c r="D7" s="456" t="s">
        <v>214</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213</v>
      </c>
      <c r="E9" s="466"/>
      <c r="F9" s="466"/>
      <c r="G9" s="466"/>
      <c r="H9" s="466"/>
      <c r="I9" s="467"/>
      <c r="J9" s="468"/>
      <c r="O9" s="469"/>
      <c r="P9" s="279"/>
      <c r="R9" s="244"/>
      <c r="S9" s="244"/>
      <c r="T9" s="244"/>
      <c r="U9" s="244"/>
    </row>
    <row r="10" spans="1:21" ht="13">
      <c r="C10" s="470" t="s">
        <v>49</v>
      </c>
      <c r="D10" s="471">
        <v>10218098.369999999</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10</v>
      </c>
      <c r="E12" s="473" t="s">
        <v>55</v>
      </c>
      <c r="F12" s="409"/>
      <c r="G12" s="221"/>
      <c r="H12" s="221"/>
      <c r="I12" s="477">
        <f>'OKT.WS.F.BPU.ATRR.Projected'!$F$78</f>
        <v>0.11475877389767174</v>
      </c>
      <c r="J12" s="414"/>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309639.34454545454</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2014</v>
      </c>
      <c r="D17" s="497">
        <v>10780000</v>
      </c>
      <c r="E17" s="498">
        <v>108783.19956647091</v>
      </c>
      <c r="F17" s="497">
        <v>10671216.80043353</v>
      </c>
      <c r="G17" s="498">
        <v>891533.50922396348</v>
      </c>
      <c r="H17" s="500">
        <v>891533.50922396348</v>
      </c>
      <c r="I17" s="501">
        <v>0</v>
      </c>
      <c r="J17" s="501"/>
      <c r="K17" s="502">
        <f t="shared" ref="K17:K22" si="1">G17</f>
        <v>891533.50922396348</v>
      </c>
      <c r="L17" s="503">
        <f t="shared" ref="L17:L22" si="2">IF(K17&lt;&gt;0,+G17-K17,0)</f>
        <v>0</v>
      </c>
      <c r="M17" s="502">
        <f t="shared" ref="M17:M22" si="3">H17</f>
        <v>891533.50922396348</v>
      </c>
      <c r="N17" s="504">
        <f>IF(M17&lt;&gt;0,+H17-M17,0)</f>
        <v>0</v>
      </c>
      <c r="O17" s="505">
        <f>+N17-L17</f>
        <v>0</v>
      </c>
      <c r="P17" s="279"/>
      <c r="R17" s="244"/>
      <c r="S17" s="244"/>
      <c r="T17" s="244"/>
      <c r="U17" s="244"/>
    </row>
    <row r="18" spans="2:21" ht="12.5">
      <c r="B18" s="145" t="str">
        <f t="shared" si="0"/>
        <v/>
      </c>
      <c r="C18" s="496">
        <f>IF(D11="","-",+C17+1)</f>
        <v>2015</v>
      </c>
      <c r="D18" s="497">
        <v>10671216.80043353</v>
      </c>
      <c r="E18" s="499">
        <v>177316.90361351607</v>
      </c>
      <c r="F18" s="497">
        <v>10493899.896820014</v>
      </c>
      <c r="G18" s="499">
        <v>1258875.2944357994</v>
      </c>
      <c r="H18" s="500">
        <v>1258875.2944357994</v>
      </c>
      <c r="I18" s="501">
        <v>0</v>
      </c>
      <c r="J18" s="501"/>
      <c r="K18" s="507">
        <f t="shared" si="1"/>
        <v>1258875.2944357994</v>
      </c>
      <c r="L18" s="508">
        <f t="shared" si="2"/>
        <v>0</v>
      </c>
      <c r="M18" s="507">
        <f t="shared" si="3"/>
        <v>1258875.2944357994</v>
      </c>
      <c r="N18" s="505">
        <f>IF(M18&lt;&gt;0,+H18-M18,0)</f>
        <v>0</v>
      </c>
      <c r="O18" s="505">
        <f>+N18-L18</f>
        <v>0</v>
      </c>
      <c r="P18" s="279"/>
      <c r="R18" s="244"/>
      <c r="S18" s="244"/>
      <c r="T18" s="244"/>
      <c r="U18" s="244"/>
    </row>
    <row r="19" spans="2:21" ht="12.5">
      <c r="B19" s="145" t="str">
        <f t="shared" si="0"/>
        <v>IU</v>
      </c>
      <c r="C19" s="496">
        <f>IF(D11="","-",+C18+1)</f>
        <v>2016</v>
      </c>
      <c r="D19" s="497">
        <v>9931637.8968200125</v>
      </c>
      <c r="E19" s="499">
        <v>212319.01830997164</v>
      </c>
      <c r="F19" s="497">
        <v>9719318.8785100412</v>
      </c>
      <c r="G19" s="499">
        <v>1260842.7357894429</v>
      </c>
      <c r="H19" s="500">
        <v>1260842.7357894429</v>
      </c>
      <c r="I19" s="501">
        <f>H19-G19</f>
        <v>0</v>
      </c>
      <c r="J19" s="501"/>
      <c r="K19" s="507">
        <f t="shared" si="1"/>
        <v>1260842.7357894429</v>
      </c>
      <c r="L19" s="508">
        <f t="shared" si="2"/>
        <v>0</v>
      </c>
      <c r="M19" s="507">
        <f t="shared" si="3"/>
        <v>1260842.7357894429</v>
      </c>
      <c r="N19" s="505">
        <f t="shared" ref="N19:N73" si="4">IF(M19&lt;&gt;0,+H19-M19,0)</f>
        <v>0</v>
      </c>
      <c r="O19" s="505">
        <f t="shared" ref="O19:O73" si="5">+N19-L19</f>
        <v>0</v>
      </c>
      <c r="P19" s="279"/>
      <c r="R19" s="244"/>
      <c r="S19" s="244"/>
      <c r="T19" s="244"/>
      <c r="U19" s="244"/>
    </row>
    <row r="20" spans="2:21" ht="12.5">
      <c r="B20" s="145" t="str">
        <f t="shared" si="0"/>
        <v>IU</v>
      </c>
      <c r="C20" s="496">
        <f>IF(D11="","-",+C19+1)</f>
        <v>2017</v>
      </c>
      <c r="D20" s="497">
        <v>9719678.8785100412</v>
      </c>
      <c r="E20" s="499">
        <v>200908.03630390498</v>
      </c>
      <c r="F20" s="497">
        <v>9518770.8422061354</v>
      </c>
      <c r="G20" s="499">
        <v>1258445.35153371</v>
      </c>
      <c r="H20" s="500">
        <v>1258445.35153371</v>
      </c>
      <c r="I20" s="501">
        <f t="shared" ref="I20:I73" si="6">H20-G20</f>
        <v>0</v>
      </c>
      <c r="J20" s="501"/>
      <c r="K20" s="507">
        <f t="shared" si="1"/>
        <v>1258445.35153371</v>
      </c>
      <c r="L20" s="508">
        <f t="shared" si="2"/>
        <v>0</v>
      </c>
      <c r="M20" s="507">
        <f t="shared" si="3"/>
        <v>1258445.35153371</v>
      </c>
      <c r="N20" s="505">
        <f>IF(M20&lt;&gt;0,+H20-M20,0)</f>
        <v>0</v>
      </c>
      <c r="O20" s="505">
        <f>+N20-L20</f>
        <v>0</v>
      </c>
      <c r="P20" s="279"/>
      <c r="R20" s="244"/>
      <c r="S20" s="244"/>
      <c r="T20" s="244"/>
      <c r="U20" s="244"/>
    </row>
    <row r="21" spans="2:21" ht="12.5">
      <c r="B21" s="145" t="str">
        <f t="shared" si="0"/>
        <v/>
      </c>
      <c r="C21" s="496">
        <f>IF(D11="","-",+C20+1)</f>
        <v>2018</v>
      </c>
      <c r="D21" s="497">
        <v>9518770.8422061354</v>
      </c>
      <c r="E21" s="499">
        <v>250594.58163414692</v>
      </c>
      <c r="F21" s="497">
        <v>9268176.2605719883</v>
      </c>
      <c r="G21" s="499">
        <v>1205193.6465713971</v>
      </c>
      <c r="H21" s="500">
        <v>1205193.6465713971</v>
      </c>
      <c r="I21" s="501">
        <v>0</v>
      </c>
      <c r="J21" s="501"/>
      <c r="K21" s="507">
        <f t="shared" si="1"/>
        <v>1205193.6465713971</v>
      </c>
      <c r="L21" s="508">
        <f t="shared" si="2"/>
        <v>0</v>
      </c>
      <c r="M21" s="507">
        <f t="shared" si="3"/>
        <v>1205193.6465713971</v>
      </c>
      <c r="N21" s="505">
        <f>IF(M21&lt;&gt;0,+H21-M21,0)</f>
        <v>0</v>
      </c>
      <c r="O21" s="505">
        <f>+N21-L21</f>
        <v>0</v>
      </c>
      <c r="P21" s="279"/>
      <c r="R21" s="244"/>
      <c r="S21" s="244"/>
      <c r="T21" s="244"/>
      <c r="U21" s="244"/>
    </row>
    <row r="22" spans="2:21" ht="12.5">
      <c r="B22" s="145" t="str">
        <f t="shared" si="0"/>
        <v/>
      </c>
      <c r="C22" s="496">
        <f>IF(D11="","-",+C21+1)</f>
        <v>2019</v>
      </c>
      <c r="D22" s="497">
        <v>9268176.2605719883</v>
      </c>
      <c r="E22" s="499">
        <v>303057.00441769959</v>
      </c>
      <c r="F22" s="497">
        <v>8965119.2561542895</v>
      </c>
      <c r="G22" s="499">
        <v>1250604.5823260741</v>
      </c>
      <c r="H22" s="500">
        <v>1250604.5823260741</v>
      </c>
      <c r="I22" s="501">
        <f t="shared" si="6"/>
        <v>0</v>
      </c>
      <c r="J22" s="501"/>
      <c r="K22" s="507">
        <f t="shared" si="1"/>
        <v>1250604.5823260741</v>
      </c>
      <c r="L22" s="508">
        <f t="shared" si="2"/>
        <v>0</v>
      </c>
      <c r="M22" s="507">
        <f t="shared" si="3"/>
        <v>1250604.5823260741</v>
      </c>
      <c r="N22" s="505">
        <f>IF(M22&lt;&gt;0,+H22-M22,0)</f>
        <v>0</v>
      </c>
      <c r="O22" s="505">
        <f>+N22-L22</f>
        <v>0</v>
      </c>
      <c r="P22" s="279"/>
      <c r="R22" s="244"/>
      <c r="S22" s="244"/>
      <c r="T22" s="244"/>
      <c r="U22" s="244"/>
    </row>
    <row r="23" spans="2:21" ht="12.5">
      <c r="B23" s="145" t="str">
        <f t="shared" si="0"/>
        <v>IU</v>
      </c>
      <c r="C23" s="496">
        <f>IF(D11="","-",+C22+1)</f>
        <v>2020</v>
      </c>
      <c r="D23" s="497">
        <v>9017581.6789378412</v>
      </c>
      <c r="E23" s="499">
        <v>299204.10245587147</v>
      </c>
      <c r="F23" s="497">
        <v>8718377.57648197</v>
      </c>
      <c r="G23" s="499">
        <v>1229743.0760443411</v>
      </c>
      <c r="H23" s="500">
        <v>1229743.0760443411</v>
      </c>
      <c r="I23" s="501">
        <f t="shared" si="6"/>
        <v>0</v>
      </c>
      <c r="J23" s="501"/>
      <c r="K23" s="507">
        <f t="shared" ref="K23" si="7">G23</f>
        <v>1229743.0760443411</v>
      </c>
      <c r="L23" s="508">
        <f t="shared" ref="L23" si="8">IF(K23&lt;&gt;0,+G23-K23,0)</f>
        <v>0</v>
      </c>
      <c r="M23" s="507">
        <f t="shared" ref="M23" si="9">H23</f>
        <v>1229743.0760443411</v>
      </c>
      <c r="N23" s="505">
        <f t="shared" si="4"/>
        <v>0</v>
      </c>
      <c r="O23" s="505">
        <f t="shared" si="5"/>
        <v>0</v>
      </c>
      <c r="P23" s="279"/>
      <c r="R23" s="244"/>
      <c r="S23" s="244"/>
      <c r="T23" s="244"/>
      <c r="U23" s="244"/>
    </row>
    <row r="24" spans="2:21" ht="12.5">
      <c r="B24" s="145" t="str">
        <f t="shared" si="0"/>
        <v>IU</v>
      </c>
      <c r="C24" s="496">
        <f>IF(D11="","-",+C23+1)</f>
        <v>2021</v>
      </c>
      <c r="D24" s="497">
        <v>8665915.1536984183</v>
      </c>
      <c r="E24" s="499">
        <v>329616.06451612903</v>
      </c>
      <c r="F24" s="497">
        <v>8336299.0891822893</v>
      </c>
      <c r="G24" s="499">
        <v>1249308.9096017922</v>
      </c>
      <c r="H24" s="500">
        <v>1249308.9096017922</v>
      </c>
      <c r="I24" s="501">
        <f t="shared" si="6"/>
        <v>0</v>
      </c>
      <c r="J24" s="501"/>
      <c r="K24" s="507">
        <f t="shared" ref="K24" si="10">G24</f>
        <v>1249308.9096017922</v>
      </c>
      <c r="L24" s="508">
        <f t="shared" ref="L24" si="11">IF(K24&lt;&gt;0,+G24-K24,0)</f>
        <v>0</v>
      </c>
      <c r="M24" s="507">
        <f t="shared" ref="M24" si="12">H24</f>
        <v>1249308.9096017922</v>
      </c>
      <c r="N24" s="505">
        <f t="shared" si="4"/>
        <v>0</v>
      </c>
      <c r="O24" s="505">
        <f t="shared" si="5"/>
        <v>0</v>
      </c>
      <c r="P24" s="279"/>
      <c r="R24" s="244"/>
      <c r="S24" s="244"/>
      <c r="T24" s="244"/>
      <c r="U24" s="244"/>
    </row>
    <row r="25" spans="2:21" ht="12.5">
      <c r="B25" s="145" t="str">
        <f t="shared" si="0"/>
        <v/>
      </c>
      <c r="C25" s="496">
        <f>IF(D11="","-",+C24+1)</f>
        <v>2022</v>
      </c>
      <c r="D25" s="497">
        <v>8336299.0891822893</v>
      </c>
      <c r="E25" s="499">
        <v>309639.33333333331</v>
      </c>
      <c r="F25" s="497">
        <v>8026659.7558489563</v>
      </c>
      <c r="G25" s="499">
        <v>1248535.8805302577</v>
      </c>
      <c r="H25" s="500">
        <v>1248535.8805302577</v>
      </c>
      <c r="I25" s="501">
        <f t="shared" si="6"/>
        <v>0</v>
      </c>
      <c r="J25" s="501"/>
      <c r="K25" s="507">
        <f t="shared" ref="K25" si="13">G25</f>
        <v>1248535.8805302577</v>
      </c>
      <c r="L25" s="508">
        <f t="shared" ref="L25" si="14">IF(K25&lt;&gt;0,+G25-K25,0)</f>
        <v>0</v>
      </c>
      <c r="M25" s="507">
        <f t="shared" ref="M25" si="15">H25</f>
        <v>1248535.8805302577</v>
      </c>
      <c r="N25" s="505">
        <f t="shared" si="4"/>
        <v>0</v>
      </c>
      <c r="O25" s="505">
        <f t="shared" si="5"/>
        <v>0</v>
      </c>
      <c r="P25" s="279"/>
      <c r="R25" s="244"/>
      <c r="S25" s="244"/>
      <c r="T25" s="244"/>
      <c r="U25" s="244"/>
    </row>
    <row r="26" spans="2:21" ht="12.5">
      <c r="B26" s="145" t="str">
        <f t="shared" si="0"/>
        <v>IU</v>
      </c>
      <c r="C26" s="496">
        <f>IF(D11="","-",+C25+1)</f>
        <v>2023</v>
      </c>
      <c r="D26" s="497">
        <v>8026660.1258489555</v>
      </c>
      <c r="E26" s="499">
        <v>329616.07645161287</v>
      </c>
      <c r="F26" s="497">
        <v>7697044.0493973428</v>
      </c>
      <c r="G26" s="499">
        <v>1218263.6637873026</v>
      </c>
      <c r="H26" s="500">
        <v>1218263.6637873026</v>
      </c>
      <c r="I26" s="501">
        <f t="shared" si="6"/>
        <v>0</v>
      </c>
      <c r="J26" s="501"/>
      <c r="K26" s="507">
        <f t="shared" ref="K26" si="16">G26</f>
        <v>1218263.6637873026</v>
      </c>
      <c r="L26" s="508">
        <f t="shared" ref="L26" si="17">IF(K26&lt;&gt;0,+G26-K26,0)</f>
        <v>0</v>
      </c>
      <c r="M26" s="507">
        <f t="shared" ref="M26" si="18">H26</f>
        <v>1218263.6637873026</v>
      </c>
      <c r="N26" s="505">
        <f t="shared" si="4"/>
        <v>0</v>
      </c>
      <c r="O26" s="505">
        <f t="shared" si="5"/>
        <v>0</v>
      </c>
      <c r="P26" s="279"/>
      <c r="R26" s="244"/>
      <c r="S26" s="244"/>
      <c r="T26" s="244"/>
      <c r="U26" s="244"/>
    </row>
    <row r="27" spans="2:21" ht="12.5">
      <c r="B27" s="145" t="str">
        <f t="shared" si="0"/>
        <v/>
      </c>
      <c r="C27" s="496">
        <f>IF(D11="","-",+C26+1)</f>
        <v>2024</v>
      </c>
      <c r="D27" s="509">
        <f>IF(F26+SUM(E$17:E26)=D$10,F26,D$10-SUM(E$17:E26))</f>
        <v>7697044.0493973428</v>
      </c>
      <c r="E27" s="510">
        <f t="shared" ref="E27:E73" si="19">IF(+$I$14&lt;F26,$I$14,D27)</f>
        <v>309639.34454545454</v>
      </c>
      <c r="F27" s="511">
        <f t="shared" ref="F27:F73" si="20">+D27-E27</f>
        <v>7387404.7048518881</v>
      </c>
      <c r="G27" s="512">
        <f t="shared" ref="G27:G73" si="21">(D27+F27)/2*I$12+E27</f>
        <v>1175175.7665254064</v>
      </c>
      <c r="H27" s="478">
        <f t="shared" ref="H27:H73" si="22">+(D27+F27)/2*I$13+E27</f>
        <v>1175175.7665254064</v>
      </c>
      <c r="I27" s="501">
        <f t="shared" si="6"/>
        <v>0</v>
      </c>
      <c r="J27" s="501"/>
      <c r="K27" s="513"/>
      <c r="L27" s="505">
        <f t="shared" ref="L27:L73" si="23">IF(K27&lt;&gt;0,+G27-K27,0)</f>
        <v>0</v>
      </c>
      <c r="M27" s="513"/>
      <c r="N27" s="505">
        <f t="shared" si="4"/>
        <v>0</v>
      </c>
      <c r="O27" s="505">
        <f t="shared" si="5"/>
        <v>0</v>
      </c>
      <c r="P27" s="279"/>
      <c r="R27" s="244"/>
      <c r="S27" s="244"/>
      <c r="T27" s="244"/>
      <c r="U27" s="244"/>
    </row>
    <row r="28" spans="2:21" ht="12.5">
      <c r="B28" s="145" t="str">
        <f t="shared" si="0"/>
        <v/>
      </c>
      <c r="C28" s="496">
        <f>IF(D11="","-",+C27+1)</f>
        <v>2025</v>
      </c>
      <c r="D28" s="509">
        <f>IF(F27+SUM(E$17:E27)=D$10,F27,D$10-SUM(E$17:E27))</f>
        <v>7387404.7048518881</v>
      </c>
      <c r="E28" s="510">
        <f t="shared" si="19"/>
        <v>309639.34454545454</v>
      </c>
      <c r="F28" s="511">
        <f t="shared" si="20"/>
        <v>7077765.3603064334</v>
      </c>
      <c r="G28" s="512">
        <f t="shared" si="21"/>
        <v>1139641.9349948913</v>
      </c>
      <c r="H28" s="478">
        <f t="shared" si="22"/>
        <v>1139641.9349948913</v>
      </c>
      <c r="I28" s="501">
        <f t="shared" si="6"/>
        <v>0</v>
      </c>
      <c r="J28" s="501"/>
      <c r="K28" s="513"/>
      <c r="L28" s="505">
        <f t="shared" si="23"/>
        <v>0</v>
      </c>
      <c r="M28" s="513"/>
      <c r="N28" s="505">
        <f t="shared" si="4"/>
        <v>0</v>
      </c>
      <c r="O28" s="505">
        <f t="shared" si="5"/>
        <v>0</v>
      </c>
      <c r="P28" s="279"/>
      <c r="R28" s="244"/>
      <c r="S28" s="244"/>
      <c r="T28" s="244"/>
      <c r="U28" s="244"/>
    </row>
    <row r="29" spans="2:21" ht="12.5">
      <c r="B29" s="145" t="str">
        <f t="shared" si="0"/>
        <v/>
      </c>
      <c r="C29" s="496">
        <f>IF(D11="","-",+C28+1)</f>
        <v>2026</v>
      </c>
      <c r="D29" s="509">
        <f>IF(F28+SUM(E$17:E28)=D$10,F28,D$10-SUM(E$17:E28))</f>
        <v>7077765.3603064334</v>
      </c>
      <c r="E29" s="510">
        <f t="shared" si="19"/>
        <v>309639.34454545454</v>
      </c>
      <c r="F29" s="511">
        <f t="shared" si="20"/>
        <v>6768126.0157609787</v>
      </c>
      <c r="G29" s="512">
        <f t="shared" si="21"/>
        <v>1104108.1034643759</v>
      </c>
      <c r="H29" s="478">
        <f t="shared" si="22"/>
        <v>1104108.1034643759</v>
      </c>
      <c r="I29" s="501">
        <f t="shared" si="6"/>
        <v>0</v>
      </c>
      <c r="J29" s="501"/>
      <c r="K29" s="513"/>
      <c r="L29" s="505">
        <f t="shared" si="23"/>
        <v>0</v>
      </c>
      <c r="M29" s="513"/>
      <c r="N29" s="505">
        <f t="shared" si="4"/>
        <v>0</v>
      </c>
      <c r="O29" s="505">
        <f t="shared" si="5"/>
        <v>0</v>
      </c>
      <c r="P29" s="279"/>
      <c r="R29" s="244"/>
      <c r="S29" s="244"/>
      <c r="T29" s="244"/>
      <c r="U29" s="244"/>
    </row>
    <row r="30" spans="2:21" ht="12.5">
      <c r="B30" s="145" t="str">
        <f t="shared" si="0"/>
        <v/>
      </c>
      <c r="C30" s="496">
        <f>IF(D11="","-",+C29+1)</f>
        <v>2027</v>
      </c>
      <c r="D30" s="509">
        <f>IF(F29+SUM(E$17:E29)=D$10,F29,D$10-SUM(E$17:E29))</f>
        <v>6768126.0157609787</v>
      </c>
      <c r="E30" s="510">
        <f t="shared" si="19"/>
        <v>309639.34454545454</v>
      </c>
      <c r="F30" s="511">
        <f t="shared" si="20"/>
        <v>6458486.671215524</v>
      </c>
      <c r="G30" s="512">
        <f t="shared" si="21"/>
        <v>1068574.2719338611</v>
      </c>
      <c r="H30" s="478">
        <f t="shared" si="22"/>
        <v>1068574.2719338611</v>
      </c>
      <c r="I30" s="501">
        <f t="shared" si="6"/>
        <v>0</v>
      </c>
      <c r="J30" s="501"/>
      <c r="K30" s="513"/>
      <c r="L30" s="505">
        <f t="shared" si="23"/>
        <v>0</v>
      </c>
      <c r="M30" s="513"/>
      <c r="N30" s="505">
        <f t="shared" si="4"/>
        <v>0</v>
      </c>
      <c r="O30" s="505">
        <f t="shared" si="5"/>
        <v>0</v>
      </c>
      <c r="P30" s="279"/>
      <c r="R30" s="244"/>
      <c r="S30" s="244"/>
      <c r="T30" s="244"/>
      <c r="U30" s="244"/>
    </row>
    <row r="31" spans="2:21" ht="12.5">
      <c r="B31" s="145" t="str">
        <f t="shared" si="0"/>
        <v/>
      </c>
      <c r="C31" s="496">
        <f>IF(D11="","-",+C30+1)</f>
        <v>2028</v>
      </c>
      <c r="D31" s="509">
        <f>IF(F30+SUM(E$17:E30)=D$10,F30,D$10-SUM(E$17:E30))</f>
        <v>6458486.671215524</v>
      </c>
      <c r="E31" s="510">
        <f t="shared" si="19"/>
        <v>309639.34454545454</v>
      </c>
      <c r="F31" s="511">
        <f t="shared" si="20"/>
        <v>6148847.3266700692</v>
      </c>
      <c r="G31" s="512">
        <f t="shared" si="21"/>
        <v>1033040.4404033457</v>
      </c>
      <c r="H31" s="478">
        <f t="shared" si="22"/>
        <v>1033040.4404033457</v>
      </c>
      <c r="I31" s="501">
        <f t="shared" si="6"/>
        <v>0</v>
      </c>
      <c r="J31" s="501"/>
      <c r="K31" s="513"/>
      <c r="L31" s="505">
        <f t="shared" si="23"/>
        <v>0</v>
      </c>
      <c r="M31" s="513"/>
      <c r="N31" s="505">
        <f t="shared" si="4"/>
        <v>0</v>
      </c>
      <c r="O31" s="505">
        <f t="shared" si="5"/>
        <v>0</v>
      </c>
      <c r="P31" s="279"/>
      <c r="Q31" s="221"/>
      <c r="R31" s="279"/>
      <c r="S31" s="279"/>
      <c r="T31" s="279"/>
      <c r="U31" s="244"/>
    </row>
    <row r="32" spans="2:21" ht="12.5">
      <c r="B32" s="145" t="str">
        <f t="shared" si="0"/>
        <v/>
      </c>
      <c r="C32" s="496">
        <f>IF(D12="","-",+C31+1)</f>
        <v>2029</v>
      </c>
      <c r="D32" s="509">
        <f>IF(F31+SUM(E$17:E31)=D$10,F31,D$10-SUM(E$17:E31))</f>
        <v>6148847.3266700692</v>
      </c>
      <c r="E32" s="510">
        <f>IF(+$I$14&lt;F31,$I$14,D32)</f>
        <v>309639.34454545454</v>
      </c>
      <c r="F32" s="511">
        <f>+D32-E32</f>
        <v>5839207.9821246145</v>
      </c>
      <c r="G32" s="512">
        <f t="shared" si="21"/>
        <v>997506.60887283087</v>
      </c>
      <c r="H32" s="478">
        <f t="shared" si="22"/>
        <v>997506.60887283087</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2030</v>
      </c>
      <c r="D33" s="582">
        <f>IF(F32+SUM(E$17:E32)=D$10,F32,D$10-SUM(E$17:E32))</f>
        <v>5839207.9821246145</v>
      </c>
      <c r="E33" s="510">
        <f>IF(+$I$14&lt;F31,$I$14,D33)</f>
        <v>309639.34454545454</v>
      </c>
      <c r="F33" s="511">
        <f t="shared" si="20"/>
        <v>5529568.6375791598</v>
      </c>
      <c r="G33" s="512">
        <f t="shared" si="21"/>
        <v>961972.77734231553</v>
      </c>
      <c r="H33" s="478">
        <f t="shared" si="22"/>
        <v>961972.77734231553</v>
      </c>
      <c r="I33" s="501">
        <f t="shared" si="6"/>
        <v>0</v>
      </c>
      <c r="J33" s="501"/>
      <c r="K33" s="513"/>
      <c r="L33" s="505">
        <f t="shared" si="23"/>
        <v>0</v>
      </c>
      <c r="M33" s="513"/>
      <c r="N33" s="505">
        <f t="shared" si="4"/>
        <v>0</v>
      </c>
      <c r="O33" s="505">
        <f t="shared" si="5"/>
        <v>0</v>
      </c>
      <c r="P33" s="279"/>
      <c r="R33" s="244"/>
      <c r="S33" s="244"/>
      <c r="T33" s="244"/>
      <c r="U33" s="244"/>
    </row>
    <row r="34" spans="2:21" ht="12.5">
      <c r="B34" s="145" t="str">
        <f t="shared" si="0"/>
        <v/>
      </c>
      <c r="C34" s="514">
        <f>IF(D11="","-",+C33+1)</f>
        <v>2031</v>
      </c>
      <c r="D34" s="582">
        <f>IF(F33+SUM(E$17:E33)=D$10,F33,D$10-SUM(E$17:E33))</f>
        <v>5529568.6375791598</v>
      </c>
      <c r="E34" s="516">
        <f t="shared" si="19"/>
        <v>309639.34454545454</v>
      </c>
      <c r="F34" s="517">
        <f t="shared" si="20"/>
        <v>5219929.2930337051</v>
      </c>
      <c r="G34" s="518">
        <f t="shared" si="21"/>
        <v>926438.94581180066</v>
      </c>
      <c r="H34" s="519">
        <f t="shared" si="22"/>
        <v>926438.94581180066</v>
      </c>
      <c r="I34" s="520">
        <f t="shared" si="6"/>
        <v>0</v>
      </c>
      <c r="J34" s="520"/>
      <c r="K34" s="521"/>
      <c r="L34" s="522">
        <f t="shared" si="23"/>
        <v>0</v>
      </c>
      <c r="M34" s="521"/>
      <c r="N34" s="522">
        <f t="shared" si="4"/>
        <v>0</v>
      </c>
      <c r="O34" s="522">
        <f t="shared" si="5"/>
        <v>0</v>
      </c>
      <c r="P34" s="523"/>
      <c r="Q34" s="217"/>
      <c r="R34" s="523"/>
      <c r="S34" s="523"/>
      <c r="T34" s="523"/>
      <c r="U34" s="244"/>
    </row>
    <row r="35" spans="2:21" ht="12.5">
      <c r="B35" s="145" t="str">
        <f t="shared" si="0"/>
        <v/>
      </c>
      <c r="C35" s="496">
        <f>IF(D11="","-",+C34+1)</f>
        <v>2032</v>
      </c>
      <c r="D35" s="509">
        <f>IF(F34+SUM(E$17:E34)=D$10,F34,D$10-SUM(E$17:E34))</f>
        <v>5219929.2930337051</v>
      </c>
      <c r="E35" s="510">
        <f t="shared" si="19"/>
        <v>309639.34454545454</v>
      </c>
      <c r="F35" s="511">
        <f t="shared" si="20"/>
        <v>4910289.9484882504</v>
      </c>
      <c r="G35" s="512">
        <f t="shared" si="21"/>
        <v>890905.11428128532</v>
      </c>
      <c r="H35" s="478">
        <f t="shared" si="22"/>
        <v>890905.11428128532</v>
      </c>
      <c r="I35" s="501">
        <f t="shared" si="6"/>
        <v>0</v>
      </c>
      <c r="J35" s="501"/>
      <c r="K35" s="513"/>
      <c r="L35" s="505">
        <f t="shared" si="23"/>
        <v>0</v>
      </c>
      <c r="M35" s="513"/>
      <c r="N35" s="505">
        <f t="shared" si="4"/>
        <v>0</v>
      </c>
      <c r="O35" s="505">
        <f t="shared" si="5"/>
        <v>0</v>
      </c>
      <c r="P35" s="279"/>
      <c r="R35" s="244"/>
      <c r="S35" s="244"/>
      <c r="T35" s="244"/>
      <c r="U35" s="244"/>
    </row>
    <row r="36" spans="2:21" ht="12.5">
      <c r="B36" s="145" t="str">
        <f t="shared" si="0"/>
        <v/>
      </c>
      <c r="C36" s="496">
        <f>IF(D11="","-",+C35+1)</f>
        <v>2033</v>
      </c>
      <c r="D36" s="509">
        <f>IF(F35+SUM(E$17:E35)=D$10,F35,D$10-SUM(E$17:E35))</f>
        <v>4910289.9484882504</v>
      </c>
      <c r="E36" s="510">
        <f t="shared" si="19"/>
        <v>309639.34454545454</v>
      </c>
      <c r="F36" s="511">
        <f t="shared" si="20"/>
        <v>4600650.6039427957</v>
      </c>
      <c r="G36" s="512">
        <f t="shared" si="21"/>
        <v>855371.28275077045</v>
      </c>
      <c r="H36" s="478">
        <f t="shared" si="22"/>
        <v>855371.28275077045</v>
      </c>
      <c r="I36" s="501">
        <f t="shared" si="6"/>
        <v>0</v>
      </c>
      <c r="J36" s="501"/>
      <c r="K36" s="513"/>
      <c r="L36" s="505">
        <f t="shared" si="23"/>
        <v>0</v>
      </c>
      <c r="M36" s="513"/>
      <c r="N36" s="505">
        <f t="shared" si="4"/>
        <v>0</v>
      </c>
      <c r="O36" s="505">
        <f t="shared" si="5"/>
        <v>0</v>
      </c>
      <c r="P36" s="279"/>
      <c r="R36" s="244"/>
      <c r="S36" s="244"/>
      <c r="T36" s="244"/>
      <c r="U36" s="244"/>
    </row>
    <row r="37" spans="2:21" ht="12.5">
      <c r="B37" s="145" t="str">
        <f t="shared" si="0"/>
        <v/>
      </c>
      <c r="C37" s="496">
        <f>IF(D11="","-",+C36+1)</f>
        <v>2034</v>
      </c>
      <c r="D37" s="509">
        <f>IF(F36+SUM(E$17:E36)=D$10,F36,D$10-SUM(E$17:E36))</f>
        <v>4600650.6039427957</v>
      </c>
      <c r="E37" s="510">
        <f t="shared" si="19"/>
        <v>309639.34454545454</v>
      </c>
      <c r="F37" s="511">
        <f t="shared" si="20"/>
        <v>4291011.2593973409</v>
      </c>
      <c r="G37" s="512">
        <f t="shared" si="21"/>
        <v>819837.45122025511</v>
      </c>
      <c r="H37" s="478">
        <f t="shared" si="22"/>
        <v>819837.45122025511</v>
      </c>
      <c r="I37" s="501">
        <f t="shared" si="6"/>
        <v>0</v>
      </c>
      <c r="J37" s="501"/>
      <c r="K37" s="513"/>
      <c r="L37" s="505">
        <f t="shared" si="23"/>
        <v>0</v>
      </c>
      <c r="M37" s="513"/>
      <c r="N37" s="505">
        <f t="shared" si="4"/>
        <v>0</v>
      </c>
      <c r="O37" s="505">
        <f t="shared" si="5"/>
        <v>0</v>
      </c>
      <c r="P37" s="279"/>
      <c r="R37" s="244"/>
      <c r="S37" s="244"/>
      <c r="T37" s="244"/>
      <c r="U37" s="244"/>
    </row>
    <row r="38" spans="2:21" ht="12.5">
      <c r="B38" s="145" t="str">
        <f t="shared" si="0"/>
        <v/>
      </c>
      <c r="C38" s="496">
        <f>IF(D11="","-",+C37+1)</f>
        <v>2035</v>
      </c>
      <c r="D38" s="509">
        <f>IF(F37+SUM(E$17:E37)=D$10,F37,D$10-SUM(E$17:E37))</f>
        <v>4291011.2593973409</v>
      </c>
      <c r="E38" s="510">
        <f t="shared" si="19"/>
        <v>309639.34454545454</v>
      </c>
      <c r="F38" s="511">
        <f t="shared" si="20"/>
        <v>3981371.9148518862</v>
      </c>
      <c r="G38" s="512">
        <f t="shared" si="21"/>
        <v>784303.61968974001</v>
      </c>
      <c r="H38" s="478">
        <f t="shared" si="22"/>
        <v>784303.61968974001</v>
      </c>
      <c r="I38" s="501">
        <f t="shared" si="6"/>
        <v>0</v>
      </c>
      <c r="J38" s="501"/>
      <c r="K38" s="513"/>
      <c r="L38" s="505">
        <f t="shared" si="23"/>
        <v>0</v>
      </c>
      <c r="M38" s="513"/>
      <c r="N38" s="505">
        <f t="shared" si="4"/>
        <v>0</v>
      </c>
      <c r="O38" s="505">
        <f t="shared" si="5"/>
        <v>0</v>
      </c>
      <c r="P38" s="279"/>
      <c r="R38" s="244"/>
      <c r="S38" s="244"/>
      <c r="T38" s="244"/>
      <c r="U38" s="244"/>
    </row>
    <row r="39" spans="2:21" ht="12.5">
      <c r="B39" s="145" t="str">
        <f t="shared" si="0"/>
        <v/>
      </c>
      <c r="C39" s="496">
        <f>IF(D11="","-",+C38+1)</f>
        <v>2036</v>
      </c>
      <c r="D39" s="509">
        <f>IF(F38+SUM(E$17:E38)=D$10,F38,D$10-SUM(E$17:E38))</f>
        <v>3981371.9148518862</v>
      </c>
      <c r="E39" s="510">
        <f t="shared" si="19"/>
        <v>309639.34454545454</v>
      </c>
      <c r="F39" s="511">
        <f t="shared" si="20"/>
        <v>3671732.5703064315</v>
      </c>
      <c r="G39" s="512">
        <f t="shared" si="21"/>
        <v>748769.7881592249</v>
      </c>
      <c r="H39" s="478">
        <f t="shared" si="22"/>
        <v>748769.7881592249</v>
      </c>
      <c r="I39" s="501">
        <f t="shared" si="6"/>
        <v>0</v>
      </c>
      <c r="J39" s="501"/>
      <c r="K39" s="513"/>
      <c r="L39" s="505">
        <f t="shared" si="23"/>
        <v>0</v>
      </c>
      <c r="M39" s="513"/>
      <c r="N39" s="505">
        <f t="shared" si="4"/>
        <v>0</v>
      </c>
      <c r="O39" s="505">
        <f t="shared" si="5"/>
        <v>0</v>
      </c>
      <c r="P39" s="279"/>
      <c r="R39" s="244"/>
      <c r="S39" s="244"/>
      <c r="T39" s="244"/>
      <c r="U39" s="244"/>
    </row>
    <row r="40" spans="2:21" ht="12.5">
      <c r="B40" s="145" t="str">
        <f t="shared" si="0"/>
        <v/>
      </c>
      <c r="C40" s="496">
        <f>IF(D11="","-",+C39+1)</f>
        <v>2037</v>
      </c>
      <c r="D40" s="509">
        <f>IF(F39+SUM(E$17:E39)=D$10,F39,D$10-SUM(E$17:E39))</f>
        <v>3671732.5703064315</v>
      </c>
      <c r="E40" s="510">
        <f t="shared" si="19"/>
        <v>309639.34454545454</v>
      </c>
      <c r="F40" s="511">
        <f t="shared" si="20"/>
        <v>3362093.2257609768</v>
      </c>
      <c r="G40" s="512">
        <f t="shared" si="21"/>
        <v>713235.9566287098</v>
      </c>
      <c r="H40" s="478">
        <f t="shared" si="22"/>
        <v>713235.9566287098</v>
      </c>
      <c r="I40" s="501">
        <f t="shared" si="6"/>
        <v>0</v>
      </c>
      <c r="J40" s="501"/>
      <c r="K40" s="513"/>
      <c r="L40" s="505">
        <f t="shared" si="23"/>
        <v>0</v>
      </c>
      <c r="M40" s="513"/>
      <c r="N40" s="505">
        <f t="shared" si="4"/>
        <v>0</v>
      </c>
      <c r="O40" s="505">
        <f t="shared" si="5"/>
        <v>0</v>
      </c>
      <c r="P40" s="279"/>
      <c r="R40" s="244"/>
      <c r="S40" s="244"/>
      <c r="T40" s="244"/>
      <c r="U40" s="244"/>
    </row>
    <row r="41" spans="2:21" ht="12.5">
      <c r="B41" s="145" t="str">
        <f t="shared" si="0"/>
        <v/>
      </c>
      <c r="C41" s="496">
        <f>IF(D12="","-",+C40+1)</f>
        <v>2038</v>
      </c>
      <c r="D41" s="509">
        <f>IF(F40+SUM(E$17:E40)=D$10,F40,D$10-SUM(E$17:E40))</f>
        <v>3362093.2257609768</v>
      </c>
      <c r="E41" s="510">
        <f t="shared" si="19"/>
        <v>309639.34454545454</v>
      </c>
      <c r="F41" s="511">
        <f t="shared" si="20"/>
        <v>3052453.8812155221</v>
      </c>
      <c r="G41" s="512">
        <f t="shared" si="21"/>
        <v>677702.12509819469</v>
      </c>
      <c r="H41" s="478">
        <f t="shared" si="22"/>
        <v>677702.12509819469</v>
      </c>
      <c r="I41" s="501">
        <f t="shared" si="6"/>
        <v>0</v>
      </c>
      <c r="J41" s="501"/>
      <c r="K41" s="513"/>
      <c r="L41" s="505">
        <f t="shared" si="23"/>
        <v>0</v>
      </c>
      <c r="M41" s="513"/>
      <c r="N41" s="505">
        <f t="shared" si="4"/>
        <v>0</v>
      </c>
      <c r="O41" s="505">
        <f t="shared" si="5"/>
        <v>0</v>
      </c>
      <c r="P41" s="279"/>
      <c r="R41" s="244"/>
      <c r="S41" s="244"/>
      <c r="T41" s="244"/>
      <c r="U41" s="244"/>
    </row>
    <row r="42" spans="2:21" ht="12.5">
      <c r="B42" s="145" t="str">
        <f t="shared" si="0"/>
        <v/>
      </c>
      <c r="C42" s="496">
        <f>IF(D13="","-",+C41+1)</f>
        <v>2039</v>
      </c>
      <c r="D42" s="509">
        <f>IF(F41+SUM(E$17:E41)=D$10,F41,D$10-SUM(E$17:E41))</f>
        <v>3052453.8812155221</v>
      </c>
      <c r="E42" s="510">
        <f t="shared" si="19"/>
        <v>309639.34454545454</v>
      </c>
      <c r="F42" s="511">
        <f t="shared" si="20"/>
        <v>2742814.5366700673</v>
      </c>
      <c r="G42" s="512">
        <f t="shared" si="21"/>
        <v>642168.29356767959</v>
      </c>
      <c r="H42" s="478">
        <f t="shared" si="22"/>
        <v>642168.29356767959</v>
      </c>
      <c r="I42" s="501">
        <f t="shared" si="6"/>
        <v>0</v>
      </c>
      <c r="J42" s="501"/>
      <c r="K42" s="513"/>
      <c r="L42" s="505">
        <f t="shared" si="23"/>
        <v>0</v>
      </c>
      <c r="M42" s="513"/>
      <c r="N42" s="505">
        <f t="shared" si="4"/>
        <v>0</v>
      </c>
      <c r="O42" s="505">
        <f t="shared" si="5"/>
        <v>0</v>
      </c>
      <c r="P42" s="279"/>
      <c r="R42" s="244"/>
      <c r="S42" s="244"/>
      <c r="T42" s="244"/>
      <c r="U42" s="244"/>
    </row>
    <row r="43" spans="2:21" ht="12.5">
      <c r="B43" s="145" t="str">
        <f t="shared" si="0"/>
        <v/>
      </c>
      <c r="C43" s="496">
        <f>IF(D11="","-",+C42+1)</f>
        <v>2040</v>
      </c>
      <c r="D43" s="509">
        <f>IF(F42+SUM(E$17:E42)=D$10,F42,D$10-SUM(E$17:E42))</f>
        <v>2742814.5366700673</v>
      </c>
      <c r="E43" s="510">
        <f t="shared" si="19"/>
        <v>309639.34454545454</v>
      </c>
      <c r="F43" s="511">
        <f t="shared" si="20"/>
        <v>2433175.1921246126</v>
      </c>
      <c r="G43" s="512">
        <f t="shared" si="21"/>
        <v>606634.46203716449</v>
      </c>
      <c r="H43" s="478">
        <f t="shared" si="22"/>
        <v>606634.46203716449</v>
      </c>
      <c r="I43" s="501">
        <f t="shared" si="6"/>
        <v>0</v>
      </c>
      <c r="J43" s="501"/>
      <c r="K43" s="513"/>
      <c r="L43" s="505">
        <f t="shared" si="23"/>
        <v>0</v>
      </c>
      <c r="M43" s="513"/>
      <c r="N43" s="505">
        <f t="shared" si="4"/>
        <v>0</v>
      </c>
      <c r="O43" s="505">
        <f t="shared" si="5"/>
        <v>0</v>
      </c>
      <c r="P43" s="279"/>
      <c r="R43" s="244"/>
      <c r="S43" s="244"/>
      <c r="T43" s="244"/>
      <c r="U43" s="244"/>
    </row>
    <row r="44" spans="2:21" ht="12.5">
      <c r="B44" s="145" t="str">
        <f t="shared" si="0"/>
        <v/>
      </c>
      <c r="C44" s="496">
        <f>IF(D11="","-",+C43+1)</f>
        <v>2041</v>
      </c>
      <c r="D44" s="509">
        <f>IF(F43+SUM(E$17:E43)=D$10,F43,D$10-SUM(E$17:E43))</f>
        <v>2433175.1921246126</v>
      </c>
      <c r="E44" s="510">
        <f t="shared" si="19"/>
        <v>309639.34454545454</v>
      </c>
      <c r="F44" s="511">
        <f t="shared" si="20"/>
        <v>2123535.8475791579</v>
      </c>
      <c r="G44" s="512">
        <f t="shared" si="21"/>
        <v>571100.63050664938</v>
      </c>
      <c r="H44" s="478">
        <f t="shared" si="22"/>
        <v>571100.63050664938</v>
      </c>
      <c r="I44" s="501">
        <f t="shared" si="6"/>
        <v>0</v>
      </c>
      <c r="J44" s="501"/>
      <c r="K44" s="513"/>
      <c r="L44" s="505">
        <f t="shared" si="23"/>
        <v>0</v>
      </c>
      <c r="M44" s="513"/>
      <c r="N44" s="505">
        <f t="shared" si="4"/>
        <v>0</v>
      </c>
      <c r="O44" s="505">
        <f t="shared" si="5"/>
        <v>0</v>
      </c>
      <c r="P44" s="279"/>
      <c r="R44" s="244"/>
      <c r="S44" s="244"/>
      <c r="T44" s="244"/>
      <c r="U44" s="244"/>
    </row>
    <row r="45" spans="2:21" ht="12.5">
      <c r="B45" s="145" t="str">
        <f t="shared" si="0"/>
        <v/>
      </c>
      <c r="C45" s="496">
        <f>IF(D11="","-",+C44+1)</f>
        <v>2042</v>
      </c>
      <c r="D45" s="509">
        <f>IF(F44+SUM(E$17:E44)=D$10,F44,D$10-SUM(E$17:E44))</f>
        <v>2123535.8475791579</v>
      </c>
      <c r="E45" s="510">
        <f t="shared" si="19"/>
        <v>309639.34454545454</v>
      </c>
      <c r="F45" s="511">
        <f t="shared" si="20"/>
        <v>1813896.5030337034</v>
      </c>
      <c r="G45" s="512">
        <f t="shared" si="21"/>
        <v>535566.79897613428</v>
      </c>
      <c r="H45" s="478">
        <f t="shared" si="22"/>
        <v>535566.79897613428</v>
      </c>
      <c r="I45" s="501">
        <f t="shared" si="6"/>
        <v>0</v>
      </c>
      <c r="J45" s="501"/>
      <c r="K45" s="513"/>
      <c r="L45" s="505">
        <f t="shared" si="23"/>
        <v>0</v>
      </c>
      <c r="M45" s="513"/>
      <c r="N45" s="505">
        <f t="shared" si="4"/>
        <v>0</v>
      </c>
      <c r="O45" s="505">
        <f t="shared" si="5"/>
        <v>0</v>
      </c>
      <c r="P45" s="279"/>
      <c r="R45" s="244"/>
      <c r="S45" s="244"/>
      <c r="T45" s="244"/>
      <c r="U45" s="244"/>
    </row>
    <row r="46" spans="2:21" ht="12.5">
      <c r="B46" s="145" t="str">
        <f t="shared" si="0"/>
        <v/>
      </c>
      <c r="C46" s="496">
        <f>IF(D11="","-",+C45+1)</f>
        <v>2043</v>
      </c>
      <c r="D46" s="509">
        <f>IF(F45+SUM(E$17:E45)=D$10,F45,D$10-SUM(E$17:E45))</f>
        <v>1813896.5030337034</v>
      </c>
      <c r="E46" s="510">
        <f t="shared" si="19"/>
        <v>309639.34454545454</v>
      </c>
      <c r="F46" s="511">
        <f t="shared" si="20"/>
        <v>1504257.1584882489</v>
      </c>
      <c r="G46" s="512">
        <f t="shared" si="21"/>
        <v>500032.96744561923</v>
      </c>
      <c r="H46" s="478">
        <f t="shared" si="22"/>
        <v>500032.96744561923</v>
      </c>
      <c r="I46" s="501">
        <f t="shared" si="6"/>
        <v>0</v>
      </c>
      <c r="J46" s="501"/>
      <c r="K46" s="513"/>
      <c r="L46" s="505">
        <f t="shared" si="23"/>
        <v>0</v>
      </c>
      <c r="M46" s="513"/>
      <c r="N46" s="505">
        <f t="shared" si="4"/>
        <v>0</v>
      </c>
      <c r="O46" s="505">
        <f t="shared" si="5"/>
        <v>0</v>
      </c>
      <c r="P46" s="279"/>
      <c r="R46" s="244"/>
      <c r="S46" s="244"/>
      <c r="T46" s="244"/>
      <c r="U46" s="244"/>
    </row>
    <row r="47" spans="2:21" ht="12.5">
      <c r="B47" s="145" t="str">
        <f t="shared" si="0"/>
        <v/>
      </c>
      <c r="C47" s="496">
        <f>IF(D11="","-",+C46+1)</f>
        <v>2044</v>
      </c>
      <c r="D47" s="509">
        <f>IF(F46+SUM(E$17:E46)=D$10,F46,D$10-SUM(E$17:E46))</f>
        <v>1504257.1584882489</v>
      </c>
      <c r="E47" s="510">
        <f t="shared" si="19"/>
        <v>309639.34454545454</v>
      </c>
      <c r="F47" s="511">
        <f t="shared" si="20"/>
        <v>1194617.8139427945</v>
      </c>
      <c r="G47" s="512">
        <f t="shared" si="21"/>
        <v>464499.13591510407</v>
      </c>
      <c r="H47" s="478">
        <f t="shared" si="22"/>
        <v>464499.13591510407</v>
      </c>
      <c r="I47" s="501">
        <f t="shared" si="6"/>
        <v>0</v>
      </c>
      <c r="J47" s="501"/>
      <c r="K47" s="513"/>
      <c r="L47" s="505">
        <f t="shared" si="23"/>
        <v>0</v>
      </c>
      <c r="M47" s="513"/>
      <c r="N47" s="505">
        <f t="shared" si="4"/>
        <v>0</v>
      </c>
      <c r="O47" s="505">
        <f t="shared" si="5"/>
        <v>0</v>
      </c>
      <c r="P47" s="279"/>
      <c r="R47" s="244"/>
      <c r="S47" s="244"/>
      <c r="T47" s="244"/>
      <c r="U47" s="244"/>
    </row>
    <row r="48" spans="2:21" ht="12.5">
      <c r="B48" s="145" t="str">
        <f t="shared" si="0"/>
        <v/>
      </c>
      <c r="C48" s="496">
        <f>IF(D11="","-",+C47+1)</f>
        <v>2045</v>
      </c>
      <c r="D48" s="509">
        <f>IF(F47+SUM(E$17:E47)=D$10,F47,D$10-SUM(E$17:E47))</f>
        <v>1194617.8139427945</v>
      </c>
      <c r="E48" s="510">
        <f t="shared" si="19"/>
        <v>309639.34454545454</v>
      </c>
      <c r="F48" s="511">
        <f t="shared" si="20"/>
        <v>884978.46939733997</v>
      </c>
      <c r="G48" s="512">
        <f t="shared" si="21"/>
        <v>428965.30438458902</v>
      </c>
      <c r="H48" s="478">
        <f t="shared" si="22"/>
        <v>428965.30438458902</v>
      </c>
      <c r="I48" s="501">
        <f t="shared" si="6"/>
        <v>0</v>
      </c>
      <c r="J48" s="501"/>
      <c r="K48" s="513"/>
      <c r="L48" s="505">
        <f t="shared" si="23"/>
        <v>0</v>
      </c>
      <c r="M48" s="513"/>
      <c r="N48" s="505">
        <f t="shared" si="4"/>
        <v>0</v>
      </c>
      <c r="O48" s="505">
        <f t="shared" si="5"/>
        <v>0</v>
      </c>
      <c r="P48" s="279"/>
      <c r="R48" s="244"/>
      <c r="S48" s="244"/>
      <c r="T48" s="244"/>
      <c r="U48" s="244"/>
    </row>
    <row r="49" spans="2:21" ht="12.5">
      <c r="B49" s="145" t="str">
        <f t="shared" si="0"/>
        <v/>
      </c>
      <c r="C49" s="496">
        <f>IF(D11="","-",+C48+1)</f>
        <v>2046</v>
      </c>
      <c r="D49" s="509">
        <f>IF(F48+SUM(E$17:E48)=D$10,F48,D$10-SUM(E$17:E48))</f>
        <v>884978.46939733997</v>
      </c>
      <c r="E49" s="510">
        <f t="shared" si="19"/>
        <v>309639.34454545454</v>
      </c>
      <c r="F49" s="511">
        <f t="shared" si="20"/>
        <v>575339.12485188548</v>
      </c>
      <c r="G49" s="512">
        <f t="shared" si="21"/>
        <v>393431.47285407397</v>
      </c>
      <c r="H49" s="478">
        <f t="shared" si="22"/>
        <v>393431.47285407397</v>
      </c>
      <c r="I49" s="501">
        <f t="shared" si="6"/>
        <v>0</v>
      </c>
      <c r="J49" s="501"/>
      <c r="K49" s="513"/>
      <c r="L49" s="505">
        <f t="shared" si="23"/>
        <v>0</v>
      </c>
      <c r="M49" s="513"/>
      <c r="N49" s="505">
        <f t="shared" si="4"/>
        <v>0</v>
      </c>
      <c r="O49" s="505">
        <f t="shared" si="5"/>
        <v>0</v>
      </c>
      <c r="P49" s="279"/>
      <c r="R49" s="244"/>
      <c r="S49" s="244"/>
      <c r="T49" s="244"/>
      <c r="U49" s="244"/>
    </row>
    <row r="50" spans="2:21" ht="12.5">
      <c r="B50" s="145" t="str">
        <f t="shared" si="0"/>
        <v/>
      </c>
      <c r="C50" s="496">
        <f>IF(D11="","-",+C49+1)</f>
        <v>2047</v>
      </c>
      <c r="D50" s="509">
        <f>IF(F49+SUM(E$17:E49)=D$10,F49,D$10-SUM(E$17:E49))</f>
        <v>575339.12485188548</v>
      </c>
      <c r="E50" s="510">
        <f t="shared" si="19"/>
        <v>309639.34454545454</v>
      </c>
      <c r="F50" s="511">
        <f t="shared" si="20"/>
        <v>265699.78030643094</v>
      </c>
      <c r="G50" s="512">
        <f t="shared" si="21"/>
        <v>357897.64132355887</v>
      </c>
      <c r="H50" s="478">
        <f t="shared" si="22"/>
        <v>357897.64132355887</v>
      </c>
      <c r="I50" s="501">
        <f t="shared" si="6"/>
        <v>0</v>
      </c>
      <c r="J50" s="501"/>
      <c r="K50" s="513"/>
      <c r="L50" s="505">
        <f t="shared" si="23"/>
        <v>0</v>
      </c>
      <c r="M50" s="513"/>
      <c r="N50" s="505">
        <f t="shared" si="4"/>
        <v>0</v>
      </c>
      <c r="O50" s="505">
        <f t="shared" si="5"/>
        <v>0</v>
      </c>
      <c r="P50" s="279"/>
      <c r="R50" s="244"/>
      <c r="S50" s="244"/>
      <c r="T50" s="244"/>
      <c r="U50" s="244"/>
    </row>
    <row r="51" spans="2:21" ht="12.5">
      <c r="B51" s="145" t="str">
        <f t="shared" si="0"/>
        <v/>
      </c>
      <c r="C51" s="496">
        <f>IF(D11="","-",+C50+1)</f>
        <v>2048</v>
      </c>
      <c r="D51" s="509">
        <f>IF(F50+SUM(E$17:E50)=D$10,F50,D$10-SUM(E$17:E50))</f>
        <v>265699.78030643094</v>
      </c>
      <c r="E51" s="510">
        <f t="shared" si="19"/>
        <v>265699.78030643094</v>
      </c>
      <c r="F51" s="511">
        <f t="shared" si="20"/>
        <v>0</v>
      </c>
      <c r="G51" s="512">
        <f t="shared" si="21"/>
        <v>280945.4708128543</v>
      </c>
      <c r="H51" s="478">
        <f t="shared" si="22"/>
        <v>280945.4708128543</v>
      </c>
      <c r="I51" s="501">
        <f t="shared" si="6"/>
        <v>0</v>
      </c>
      <c r="J51" s="501"/>
      <c r="K51" s="513"/>
      <c r="L51" s="505">
        <f t="shared" si="23"/>
        <v>0</v>
      </c>
      <c r="M51" s="513"/>
      <c r="N51" s="505">
        <f t="shared" si="4"/>
        <v>0</v>
      </c>
      <c r="O51" s="505">
        <f t="shared" si="5"/>
        <v>0</v>
      </c>
      <c r="P51" s="279"/>
      <c r="R51" s="244"/>
      <c r="S51" s="244"/>
      <c r="T51" s="244"/>
      <c r="U51" s="244"/>
    </row>
    <row r="52" spans="2:21" ht="12.5">
      <c r="B52" s="145" t="str">
        <f t="shared" si="0"/>
        <v/>
      </c>
      <c r="C52" s="496">
        <f>IF(D11="","-",+C51+1)</f>
        <v>2049</v>
      </c>
      <c r="D52" s="509">
        <f>IF(F51+SUM(E$17:E51)=D$10,F51,D$10-SUM(E$17:E51))</f>
        <v>0</v>
      </c>
      <c r="E52" s="510">
        <f t="shared" si="19"/>
        <v>0</v>
      </c>
      <c r="F52" s="511">
        <f t="shared" si="20"/>
        <v>0</v>
      </c>
      <c r="G52" s="512">
        <f t="shared" si="21"/>
        <v>0</v>
      </c>
      <c r="H52" s="478">
        <f t="shared" si="22"/>
        <v>0</v>
      </c>
      <c r="I52" s="501">
        <f t="shared" si="6"/>
        <v>0</v>
      </c>
      <c r="J52" s="501"/>
      <c r="K52" s="513"/>
      <c r="L52" s="505">
        <f t="shared" si="23"/>
        <v>0</v>
      </c>
      <c r="M52" s="513"/>
      <c r="N52" s="505">
        <f t="shared" si="4"/>
        <v>0</v>
      </c>
      <c r="O52" s="505">
        <f t="shared" si="5"/>
        <v>0</v>
      </c>
      <c r="P52" s="279"/>
      <c r="R52" s="244"/>
      <c r="S52" s="244"/>
      <c r="T52" s="244"/>
      <c r="U52" s="244"/>
    </row>
    <row r="53" spans="2:21" ht="12.5">
      <c r="B53" s="145" t="str">
        <f t="shared" si="0"/>
        <v/>
      </c>
      <c r="C53" s="496">
        <f>IF(D11="","-",+C52+1)</f>
        <v>2050</v>
      </c>
      <c r="D53" s="509">
        <f>IF(F52+SUM(E$17:E52)=D$10,F52,D$10-SUM(E$17:E52))</f>
        <v>0</v>
      </c>
      <c r="E53" s="510">
        <f t="shared" si="19"/>
        <v>0</v>
      </c>
      <c r="F53" s="511">
        <f t="shared" si="20"/>
        <v>0</v>
      </c>
      <c r="G53" s="512">
        <f t="shared" si="21"/>
        <v>0</v>
      </c>
      <c r="H53" s="478">
        <f t="shared" si="22"/>
        <v>0</v>
      </c>
      <c r="I53" s="501">
        <f t="shared" si="6"/>
        <v>0</v>
      </c>
      <c r="J53" s="501"/>
      <c r="K53" s="513"/>
      <c r="L53" s="505">
        <f t="shared" si="23"/>
        <v>0</v>
      </c>
      <c r="M53" s="513"/>
      <c r="N53" s="505">
        <f t="shared" si="4"/>
        <v>0</v>
      </c>
      <c r="O53" s="505">
        <f t="shared" si="5"/>
        <v>0</v>
      </c>
      <c r="P53" s="279"/>
      <c r="R53" s="244"/>
      <c r="S53" s="244"/>
      <c r="T53" s="244"/>
      <c r="U53" s="244"/>
    </row>
    <row r="54" spans="2:21" ht="12.5">
      <c r="B54" s="145" t="str">
        <f t="shared" si="0"/>
        <v/>
      </c>
      <c r="C54" s="496">
        <f>IF(D11="","-",+C53+1)</f>
        <v>2051</v>
      </c>
      <c r="D54" s="509">
        <f>IF(F53+SUM(E$17:E53)=D$10,F53,D$10-SUM(E$17:E53))</f>
        <v>0</v>
      </c>
      <c r="E54" s="510">
        <f t="shared" si="19"/>
        <v>0</v>
      </c>
      <c r="F54" s="511">
        <f t="shared" si="20"/>
        <v>0</v>
      </c>
      <c r="G54" s="512">
        <f t="shared" si="21"/>
        <v>0</v>
      </c>
      <c r="H54" s="478">
        <f t="shared" si="22"/>
        <v>0</v>
      </c>
      <c r="I54" s="501">
        <f t="shared" si="6"/>
        <v>0</v>
      </c>
      <c r="J54" s="501"/>
      <c r="K54" s="513"/>
      <c r="L54" s="505">
        <f t="shared" si="23"/>
        <v>0</v>
      </c>
      <c r="M54" s="513"/>
      <c r="N54" s="505">
        <f t="shared" si="4"/>
        <v>0</v>
      </c>
      <c r="O54" s="505">
        <f t="shared" si="5"/>
        <v>0</v>
      </c>
      <c r="P54" s="279"/>
      <c r="R54" s="244"/>
      <c r="S54" s="244"/>
      <c r="T54" s="244"/>
      <c r="U54" s="244"/>
    </row>
    <row r="55" spans="2:21" ht="12.5">
      <c r="B55" s="145" t="str">
        <f t="shared" si="0"/>
        <v/>
      </c>
      <c r="C55" s="496">
        <f>IF(D11="","-",+C54+1)</f>
        <v>2052</v>
      </c>
      <c r="D55" s="509">
        <f>IF(F54+SUM(E$17:E54)=D$10,F54,D$10-SUM(E$17:E54))</f>
        <v>0</v>
      </c>
      <c r="E55" s="510">
        <f t="shared" si="19"/>
        <v>0</v>
      </c>
      <c r="F55" s="511">
        <f t="shared" si="20"/>
        <v>0</v>
      </c>
      <c r="G55" s="512">
        <f t="shared" si="21"/>
        <v>0</v>
      </c>
      <c r="H55" s="478">
        <f t="shared" si="22"/>
        <v>0</v>
      </c>
      <c r="I55" s="501">
        <f t="shared" si="6"/>
        <v>0</v>
      </c>
      <c r="J55" s="501"/>
      <c r="K55" s="513"/>
      <c r="L55" s="505">
        <f t="shared" si="23"/>
        <v>0</v>
      </c>
      <c r="M55" s="513"/>
      <c r="N55" s="505">
        <f t="shared" si="4"/>
        <v>0</v>
      </c>
      <c r="O55" s="505">
        <f t="shared" si="5"/>
        <v>0</v>
      </c>
      <c r="P55" s="279"/>
      <c r="R55" s="244"/>
      <c r="S55" s="244"/>
      <c r="T55" s="244"/>
      <c r="U55" s="244"/>
    </row>
    <row r="56" spans="2:21" ht="12.5">
      <c r="B56" s="145" t="str">
        <f t="shared" si="0"/>
        <v/>
      </c>
      <c r="C56" s="496">
        <f>IF(D11="","-",+C55+1)</f>
        <v>2053</v>
      </c>
      <c r="D56" s="509">
        <f>IF(F55+SUM(E$17:E55)=D$10,F55,D$10-SUM(E$17:E55))</f>
        <v>0</v>
      </c>
      <c r="E56" s="510">
        <f t="shared" si="19"/>
        <v>0</v>
      </c>
      <c r="F56" s="511">
        <f t="shared" si="20"/>
        <v>0</v>
      </c>
      <c r="G56" s="512">
        <f t="shared" si="21"/>
        <v>0</v>
      </c>
      <c r="H56" s="478">
        <f t="shared" si="22"/>
        <v>0</v>
      </c>
      <c r="I56" s="501">
        <f t="shared" si="6"/>
        <v>0</v>
      </c>
      <c r="J56" s="501"/>
      <c r="K56" s="513"/>
      <c r="L56" s="505">
        <f t="shared" si="23"/>
        <v>0</v>
      </c>
      <c r="M56" s="513"/>
      <c r="N56" s="505">
        <f t="shared" si="4"/>
        <v>0</v>
      </c>
      <c r="O56" s="505">
        <f t="shared" si="5"/>
        <v>0</v>
      </c>
      <c r="P56" s="279"/>
      <c r="R56" s="244"/>
      <c r="S56" s="244"/>
      <c r="T56" s="244"/>
      <c r="U56" s="244"/>
    </row>
    <row r="57" spans="2:21" ht="12.5">
      <c r="B57" s="145" t="str">
        <f t="shared" si="0"/>
        <v/>
      </c>
      <c r="C57" s="496">
        <f>IF(D11="","-",+C56+1)</f>
        <v>2054</v>
      </c>
      <c r="D57" s="509">
        <f>IF(F56+SUM(E$17:E56)=D$10,F56,D$10-SUM(E$17:E56))</f>
        <v>0</v>
      </c>
      <c r="E57" s="510">
        <f t="shared" si="19"/>
        <v>0</v>
      </c>
      <c r="F57" s="511">
        <f t="shared" si="20"/>
        <v>0</v>
      </c>
      <c r="G57" s="512">
        <f t="shared" si="21"/>
        <v>0</v>
      </c>
      <c r="H57" s="478">
        <f t="shared" si="22"/>
        <v>0</v>
      </c>
      <c r="I57" s="501">
        <f t="shared" si="6"/>
        <v>0</v>
      </c>
      <c r="J57" s="501"/>
      <c r="K57" s="513"/>
      <c r="L57" s="505">
        <f t="shared" si="23"/>
        <v>0</v>
      </c>
      <c r="M57" s="513"/>
      <c r="N57" s="505">
        <f t="shared" si="4"/>
        <v>0</v>
      </c>
      <c r="O57" s="505">
        <f t="shared" si="5"/>
        <v>0</v>
      </c>
      <c r="P57" s="279"/>
      <c r="R57" s="244"/>
      <c r="S57" s="244"/>
      <c r="T57" s="244"/>
      <c r="U57" s="244"/>
    </row>
    <row r="58" spans="2:21" ht="12.5">
      <c r="B58" s="145" t="str">
        <f t="shared" si="0"/>
        <v/>
      </c>
      <c r="C58" s="496">
        <f>IF(D11="","-",+C57+1)</f>
        <v>2055</v>
      </c>
      <c r="D58" s="509">
        <f>IF(F57+SUM(E$17:E57)=D$10,F57,D$10-SUM(E$17:E57))</f>
        <v>0</v>
      </c>
      <c r="E58" s="510">
        <f t="shared" si="19"/>
        <v>0</v>
      </c>
      <c r="F58" s="511">
        <f t="shared" si="20"/>
        <v>0</v>
      </c>
      <c r="G58" s="512">
        <f t="shared" si="21"/>
        <v>0</v>
      </c>
      <c r="H58" s="478">
        <f t="shared" si="22"/>
        <v>0</v>
      </c>
      <c r="I58" s="501">
        <f t="shared" si="6"/>
        <v>0</v>
      </c>
      <c r="J58" s="501"/>
      <c r="K58" s="513"/>
      <c r="L58" s="505">
        <f t="shared" si="23"/>
        <v>0</v>
      </c>
      <c r="M58" s="513"/>
      <c r="N58" s="505">
        <f t="shared" si="4"/>
        <v>0</v>
      </c>
      <c r="O58" s="505">
        <f t="shared" si="5"/>
        <v>0</v>
      </c>
      <c r="P58" s="279"/>
      <c r="R58" s="244"/>
      <c r="S58" s="244"/>
      <c r="T58" s="244"/>
      <c r="U58" s="244"/>
    </row>
    <row r="59" spans="2:21" ht="12.5">
      <c r="B59" s="145" t="str">
        <f t="shared" si="0"/>
        <v/>
      </c>
      <c r="C59" s="496">
        <f>IF(D11="","-",+C58+1)</f>
        <v>2056</v>
      </c>
      <c r="D59" s="509">
        <f>IF(F58+SUM(E$17:E58)=D$10,F58,D$10-SUM(E$17:E58))</f>
        <v>0</v>
      </c>
      <c r="E59" s="510">
        <f t="shared" si="19"/>
        <v>0</v>
      </c>
      <c r="F59" s="511">
        <f t="shared" si="20"/>
        <v>0</v>
      </c>
      <c r="G59" s="512">
        <f t="shared" si="21"/>
        <v>0</v>
      </c>
      <c r="H59" s="478">
        <f t="shared" si="22"/>
        <v>0</v>
      </c>
      <c r="I59" s="501">
        <f t="shared" si="6"/>
        <v>0</v>
      </c>
      <c r="J59" s="501"/>
      <c r="K59" s="513"/>
      <c r="L59" s="505">
        <f t="shared" si="23"/>
        <v>0</v>
      </c>
      <c r="M59" s="513"/>
      <c r="N59" s="505">
        <f t="shared" si="4"/>
        <v>0</v>
      </c>
      <c r="O59" s="505">
        <f t="shared" si="5"/>
        <v>0</v>
      </c>
      <c r="P59" s="279"/>
      <c r="R59" s="244"/>
      <c r="S59" s="244"/>
      <c r="T59" s="244"/>
      <c r="U59" s="244"/>
    </row>
    <row r="60" spans="2:21" ht="12.5">
      <c r="B60" s="145" t="str">
        <f t="shared" si="0"/>
        <v/>
      </c>
      <c r="C60" s="496">
        <f>IF(D11="","-",+C59+1)</f>
        <v>2057</v>
      </c>
      <c r="D60" s="509">
        <f>IF(F59+SUM(E$17:E59)=D$10,F59,D$10-SUM(E$17:E59))</f>
        <v>0</v>
      </c>
      <c r="E60" s="510">
        <f t="shared" si="19"/>
        <v>0</v>
      </c>
      <c r="F60" s="511">
        <f t="shared" si="20"/>
        <v>0</v>
      </c>
      <c r="G60" s="512">
        <f t="shared" si="21"/>
        <v>0</v>
      </c>
      <c r="H60" s="478">
        <f t="shared" si="22"/>
        <v>0</v>
      </c>
      <c r="I60" s="501">
        <f t="shared" si="6"/>
        <v>0</v>
      </c>
      <c r="J60" s="501"/>
      <c r="K60" s="513"/>
      <c r="L60" s="505">
        <f t="shared" si="23"/>
        <v>0</v>
      </c>
      <c r="M60" s="513"/>
      <c r="N60" s="505">
        <f t="shared" si="4"/>
        <v>0</v>
      </c>
      <c r="O60" s="505">
        <f t="shared" si="5"/>
        <v>0</v>
      </c>
      <c r="P60" s="279"/>
      <c r="R60" s="244"/>
      <c r="S60" s="244"/>
      <c r="T60" s="244"/>
      <c r="U60" s="244"/>
    </row>
    <row r="61" spans="2:21" ht="12.5">
      <c r="B61" s="145" t="str">
        <f t="shared" si="0"/>
        <v/>
      </c>
      <c r="C61" s="496">
        <f>IF(D11="","-",+C60+1)</f>
        <v>2058</v>
      </c>
      <c r="D61" s="509">
        <f>IF(F60+SUM(E$17:E60)=D$10,F60,D$10-SUM(E$17:E60))</f>
        <v>0</v>
      </c>
      <c r="E61" s="510">
        <f t="shared" si="19"/>
        <v>0</v>
      </c>
      <c r="F61" s="511">
        <f t="shared" si="20"/>
        <v>0</v>
      </c>
      <c r="G61" s="512">
        <f t="shared" si="21"/>
        <v>0</v>
      </c>
      <c r="H61" s="478">
        <f t="shared" si="22"/>
        <v>0</v>
      </c>
      <c r="I61" s="501">
        <f t="shared" si="6"/>
        <v>0</v>
      </c>
      <c r="J61" s="501"/>
      <c r="K61" s="513"/>
      <c r="L61" s="505">
        <f t="shared" si="23"/>
        <v>0</v>
      </c>
      <c r="M61" s="513"/>
      <c r="N61" s="505">
        <f t="shared" si="4"/>
        <v>0</v>
      </c>
      <c r="O61" s="505">
        <f t="shared" si="5"/>
        <v>0</v>
      </c>
      <c r="P61" s="279"/>
      <c r="R61" s="244"/>
      <c r="S61" s="244"/>
      <c r="T61" s="244"/>
      <c r="U61" s="244"/>
    </row>
    <row r="62" spans="2:21" ht="12.5">
      <c r="B62" s="145" t="str">
        <f t="shared" si="0"/>
        <v/>
      </c>
      <c r="C62" s="496">
        <f>IF(D11="","-",+C61+1)</f>
        <v>2059</v>
      </c>
      <c r="D62" s="509">
        <f>IF(F61+SUM(E$17:E61)=D$10,F61,D$10-SUM(E$17:E61))</f>
        <v>0</v>
      </c>
      <c r="E62" s="510">
        <f t="shared" si="19"/>
        <v>0</v>
      </c>
      <c r="F62" s="511">
        <f t="shared" si="20"/>
        <v>0</v>
      </c>
      <c r="G62" s="512">
        <f t="shared" si="21"/>
        <v>0</v>
      </c>
      <c r="H62" s="478">
        <f t="shared" si="22"/>
        <v>0</v>
      </c>
      <c r="I62" s="501">
        <f t="shared" si="6"/>
        <v>0</v>
      </c>
      <c r="J62" s="501"/>
      <c r="K62" s="513"/>
      <c r="L62" s="505">
        <f t="shared" si="23"/>
        <v>0</v>
      </c>
      <c r="M62" s="513"/>
      <c r="N62" s="505">
        <f t="shared" si="4"/>
        <v>0</v>
      </c>
      <c r="O62" s="505">
        <f t="shared" si="5"/>
        <v>0</v>
      </c>
      <c r="P62" s="279"/>
      <c r="R62" s="244"/>
      <c r="S62" s="244"/>
      <c r="T62" s="244"/>
      <c r="U62" s="244"/>
    </row>
    <row r="63" spans="2:21" ht="12.5">
      <c r="B63" s="145" t="str">
        <f t="shared" si="0"/>
        <v/>
      </c>
      <c r="C63" s="496">
        <f>IF(D11="","-",+C62+1)</f>
        <v>2060</v>
      </c>
      <c r="D63" s="509">
        <f>IF(F62+SUM(E$17:E62)=D$10,F62,D$10-SUM(E$17:E62))</f>
        <v>0</v>
      </c>
      <c r="E63" s="510">
        <f t="shared" si="19"/>
        <v>0</v>
      </c>
      <c r="F63" s="511">
        <f t="shared" si="20"/>
        <v>0</v>
      </c>
      <c r="G63" s="512">
        <f t="shared" si="21"/>
        <v>0</v>
      </c>
      <c r="H63" s="478">
        <f t="shared" si="22"/>
        <v>0</v>
      </c>
      <c r="I63" s="501">
        <f t="shared" si="6"/>
        <v>0</v>
      </c>
      <c r="J63" s="501"/>
      <c r="K63" s="513"/>
      <c r="L63" s="505">
        <f t="shared" si="23"/>
        <v>0</v>
      </c>
      <c r="M63" s="513"/>
      <c r="N63" s="505">
        <f t="shared" si="4"/>
        <v>0</v>
      </c>
      <c r="O63" s="505">
        <f t="shared" si="5"/>
        <v>0</v>
      </c>
      <c r="P63" s="279"/>
      <c r="R63" s="244"/>
      <c r="S63" s="244"/>
      <c r="T63" s="244"/>
      <c r="U63" s="244"/>
    </row>
    <row r="64" spans="2:21" ht="12.5">
      <c r="B64" s="145" t="str">
        <f t="shared" si="0"/>
        <v/>
      </c>
      <c r="C64" s="496">
        <f>IF(D11="","-",+C63+1)</f>
        <v>2061</v>
      </c>
      <c r="D64" s="509">
        <f>IF(F63+SUM(E$17:E63)=D$10,F63,D$10-SUM(E$17:E63))</f>
        <v>0</v>
      </c>
      <c r="E64" s="510">
        <f t="shared" si="19"/>
        <v>0</v>
      </c>
      <c r="F64" s="511">
        <f t="shared" si="20"/>
        <v>0</v>
      </c>
      <c r="G64" s="512">
        <f t="shared" si="21"/>
        <v>0</v>
      </c>
      <c r="H64" s="478">
        <f t="shared" si="22"/>
        <v>0</v>
      </c>
      <c r="I64" s="501">
        <f t="shared" si="6"/>
        <v>0</v>
      </c>
      <c r="J64" s="501"/>
      <c r="K64" s="513"/>
      <c r="L64" s="505">
        <f t="shared" si="23"/>
        <v>0</v>
      </c>
      <c r="M64" s="513"/>
      <c r="N64" s="505">
        <f t="shared" si="4"/>
        <v>0</v>
      </c>
      <c r="O64" s="505">
        <f t="shared" si="5"/>
        <v>0</v>
      </c>
      <c r="P64" s="279"/>
      <c r="R64" s="244"/>
      <c r="S64" s="244"/>
      <c r="T64" s="244"/>
      <c r="U64" s="244"/>
    </row>
    <row r="65" spans="2:21" ht="12.5">
      <c r="B65" s="145" t="str">
        <f t="shared" si="0"/>
        <v/>
      </c>
      <c r="C65" s="496">
        <f>IF(D11="","-",+C64+1)</f>
        <v>2062</v>
      </c>
      <c r="D65" s="509">
        <f>IF(F64+SUM(E$17:E64)=D$10,F64,D$10-SUM(E$17:E64))</f>
        <v>0</v>
      </c>
      <c r="E65" s="510">
        <f t="shared" si="19"/>
        <v>0</v>
      </c>
      <c r="F65" s="511">
        <f t="shared" si="20"/>
        <v>0</v>
      </c>
      <c r="G65" s="512">
        <f t="shared" si="21"/>
        <v>0</v>
      </c>
      <c r="H65" s="478">
        <f t="shared" si="22"/>
        <v>0</v>
      </c>
      <c r="I65" s="501">
        <f t="shared" si="6"/>
        <v>0</v>
      </c>
      <c r="J65" s="501"/>
      <c r="K65" s="513"/>
      <c r="L65" s="505">
        <f t="shared" si="23"/>
        <v>0</v>
      </c>
      <c r="M65" s="513"/>
      <c r="N65" s="505">
        <f t="shared" si="4"/>
        <v>0</v>
      </c>
      <c r="O65" s="505">
        <f t="shared" si="5"/>
        <v>0</v>
      </c>
      <c r="P65" s="279"/>
      <c r="R65" s="244"/>
      <c r="S65" s="244"/>
      <c r="T65" s="244"/>
      <c r="U65" s="244"/>
    </row>
    <row r="66" spans="2:21" ht="12.5">
      <c r="B66" s="145" t="str">
        <f t="shared" si="0"/>
        <v/>
      </c>
      <c r="C66" s="496">
        <f>IF(D11="","-",+C65+1)</f>
        <v>2063</v>
      </c>
      <c r="D66" s="509">
        <f>IF(F65+SUM(E$17:E65)=D$10,F65,D$10-SUM(E$17:E65))</f>
        <v>0</v>
      </c>
      <c r="E66" s="510">
        <f t="shared" si="19"/>
        <v>0</v>
      </c>
      <c r="F66" s="511">
        <f t="shared" si="20"/>
        <v>0</v>
      </c>
      <c r="G66" s="512">
        <f t="shared" si="21"/>
        <v>0</v>
      </c>
      <c r="H66" s="478">
        <f t="shared" si="22"/>
        <v>0</v>
      </c>
      <c r="I66" s="501">
        <f t="shared" si="6"/>
        <v>0</v>
      </c>
      <c r="J66" s="501"/>
      <c r="K66" s="513"/>
      <c r="L66" s="505">
        <f t="shared" si="23"/>
        <v>0</v>
      </c>
      <c r="M66" s="513"/>
      <c r="N66" s="505">
        <f t="shared" si="4"/>
        <v>0</v>
      </c>
      <c r="O66" s="505">
        <f t="shared" si="5"/>
        <v>0</v>
      </c>
      <c r="P66" s="279"/>
      <c r="R66" s="244"/>
      <c r="S66" s="244"/>
      <c r="T66" s="244"/>
      <c r="U66" s="244"/>
    </row>
    <row r="67" spans="2:21" ht="12.5">
      <c r="B67" s="145" t="str">
        <f t="shared" si="0"/>
        <v/>
      </c>
      <c r="C67" s="496">
        <f>IF(D11="","-",+C66+1)</f>
        <v>2064</v>
      </c>
      <c r="D67" s="509">
        <f>IF(F66+SUM(E$17:E66)=D$10,F66,D$10-SUM(E$17:E66))</f>
        <v>0</v>
      </c>
      <c r="E67" s="510">
        <f t="shared" si="19"/>
        <v>0</v>
      </c>
      <c r="F67" s="511">
        <f t="shared" si="20"/>
        <v>0</v>
      </c>
      <c r="G67" s="512">
        <f t="shared" si="21"/>
        <v>0</v>
      </c>
      <c r="H67" s="478">
        <f t="shared" si="22"/>
        <v>0</v>
      </c>
      <c r="I67" s="501">
        <f t="shared" si="6"/>
        <v>0</v>
      </c>
      <c r="J67" s="501"/>
      <c r="K67" s="513"/>
      <c r="L67" s="505">
        <f t="shared" si="23"/>
        <v>0</v>
      </c>
      <c r="M67" s="513"/>
      <c r="N67" s="505">
        <f t="shared" si="4"/>
        <v>0</v>
      </c>
      <c r="O67" s="505">
        <f t="shared" si="5"/>
        <v>0</v>
      </c>
      <c r="P67" s="279"/>
      <c r="R67" s="244"/>
      <c r="S67" s="244"/>
      <c r="T67" s="244"/>
      <c r="U67" s="244"/>
    </row>
    <row r="68" spans="2:21" ht="12.5">
      <c r="B68" s="145" t="str">
        <f t="shared" si="0"/>
        <v/>
      </c>
      <c r="C68" s="496">
        <f>IF(D11="","-",+C67+1)</f>
        <v>2065</v>
      </c>
      <c r="D68" s="509">
        <f>IF(F67+SUM(E$17:E67)=D$10,F67,D$10-SUM(E$17:E67))</f>
        <v>0</v>
      </c>
      <c r="E68" s="510">
        <f t="shared" si="19"/>
        <v>0</v>
      </c>
      <c r="F68" s="511">
        <f t="shared" si="20"/>
        <v>0</v>
      </c>
      <c r="G68" s="512">
        <f t="shared" si="21"/>
        <v>0</v>
      </c>
      <c r="H68" s="478">
        <f t="shared" si="22"/>
        <v>0</v>
      </c>
      <c r="I68" s="501">
        <f t="shared" si="6"/>
        <v>0</v>
      </c>
      <c r="J68" s="501"/>
      <c r="K68" s="513"/>
      <c r="L68" s="505">
        <f t="shared" si="23"/>
        <v>0</v>
      </c>
      <c r="M68" s="513"/>
      <c r="N68" s="505">
        <f t="shared" si="4"/>
        <v>0</v>
      </c>
      <c r="O68" s="505">
        <f t="shared" si="5"/>
        <v>0</v>
      </c>
      <c r="P68" s="279"/>
      <c r="R68" s="244"/>
      <c r="S68" s="244"/>
      <c r="T68" s="244"/>
      <c r="U68" s="244"/>
    </row>
    <row r="69" spans="2:21" ht="12.5">
      <c r="B69" s="145" t="str">
        <f t="shared" si="0"/>
        <v/>
      </c>
      <c r="C69" s="496">
        <f>IF(D11="","-",+C68+1)</f>
        <v>2066</v>
      </c>
      <c r="D69" s="509">
        <f>IF(F68+SUM(E$17:E68)=D$10,F68,D$10-SUM(E$17:E68))</f>
        <v>0</v>
      </c>
      <c r="E69" s="510">
        <f t="shared" si="19"/>
        <v>0</v>
      </c>
      <c r="F69" s="511">
        <f t="shared" si="20"/>
        <v>0</v>
      </c>
      <c r="G69" s="512">
        <f t="shared" si="21"/>
        <v>0</v>
      </c>
      <c r="H69" s="478">
        <f t="shared" si="22"/>
        <v>0</v>
      </c>
      <c r="I69" s="501">
        <f t="shared" si="6"/>
        <v>0</v>
      </c>
      <c r="J69" s="501"/>
      <c r="K69" s="513"/>
      <c r="L69" s="505">
        <f t="shared" si="23"/>
        <v>0</v>
      </c>
      <c r="M69" s="513"/>
      <c r="N69" s="505">
        <f t="shared" si="4"/>
        <v>0</v>
      </c>
      <c r="O69" s="505">
        <f t="shared" si="5"/>
        <v>0</v>
      </c>
      <c r="P69" s="279"/>
      <c r="R69" s="244"/>
      <c r="S69" s="244"/>
      <c r="T69" s="244"/>
      <c r="U69" s="244"/>
    </row>
    <row r="70" spans="2:21" ht="12.5">
      <c r="B70" s="145" t="str">
        <f t="shared" si="0"/>
        <v/>
      </c>
      <c r="C70" s="496">
        <f>IF(D11="","-",+C69+1)</f>
        <v>2067</v>
      </c>
      <c r="D70" s="509">
        <f>IF(F69+SUM(E$17:E69)=D$10,F69,D$10-SUM(E$17:E69))</f>
        <v>0</v>
      </c>
      <c r="E70" s="510">
        <f t="shared" si="19"/>
        <v>0</v>
      </c>
      <c r="F70" s="511">
        <f t="shared" si="20"/>
        <v>0</v>
      </c>
      <c r="G70" s="512">
        <f t="shared" si="21"/>
        <v>0</v>
      </c>
      <c r="H70" s="478">
        <f t="shared" si="22"/>
        <v>0</v>
      </c>
      <c r="I70" s="501">
        <f t="shared" si="6"/>
        <v>0</v>
      </c>
      <c r="J70" s="501"/>
      <c r="K70" s="513"/>
      <c r="L70" s="505">
        <f t="shared" si="23"/>
        <v>0</v>
      </c>
      <c r="M70" s="513"/>
      <c r="N70" s="505">
        <f t="shared" si="4"/>
        <v>0</v>
      </c>
      <c r="O70" s="505">
        <f t="shared" si="5"/>
        <v>0</v>
      </c>
      <c r="P70" s="279"/>
      <c r="R70" s="244"/>
      <c r="S70" s="244"/>
      <c r="T70" s="244"/>
      <c r="U70" s="244"/>
    </row>
    <row r="71" spans="2:21" ht="12.5">
      <c r="B71" s="145" t="str">
        <f t="shared" si="0"/>
        <v/>
      </c>
      <c r="C71" s="496">
        <f>IF(D11="","-",+C70+1)</f>
        <v>2068</v>
      </c>
      <c r="D71" s="509">
        <f>IF(F70+SUM(E$17:E70)=D$10,F70,D$10-SUM(E$17:E70))</f>
        <v>0</v>
      </c>
      <c r="E71" s="510">
        <f t="shared" si="19"/>
        <v>0</v>
      </c>
      <c r="F71" s="511">
        <f t="shared" si="20"/>
        <v>0</v>
      </c>
      <c r="G71" s="512">
        <f t="shared" si="21"/>
        <v>0</v>
      </c>
      <c r="H71" s="478">
        <f t="shared" si="22"/>
        <v>0</v>
      </c>
      <c r="I71" s="501">
        <f t="shared" si="6"/>
        <v>0</v>
      </c>
      <c r="J71" s="501"/>
      <c r="K71" s="513"/>
      <c r="L71" s="505">
        <f t="shared" si="23"/>
        <v>0</v>
      </c>
      <c r="M71" s="513"/>
      <c r="N71" s="505">
        <f t="shared" si="4"/>
        <v>0</v>
      </c>
      <c r="O71" s="505">
        <f t="shared" si="5"/>
        <v>0</v>
      </c>
      <c r="P71" s="279"/>
      <c r="R71" s="244"/>
      <c r="S71" s="244"/>
      <c r="T71" s="244"/>
      <c r="U71" s="244"/>
    </row>
    <row r="72" spans="2:21" ht="12.5">
      <c r="B72" s="145" t="str">
        <f t="shared" si="0"/>
        <v/>
      </c>
      <c r="C72" s="496">
        <f>IF(D11="","-",+C71+1)</f>
        <v>2069</v>
      </c>
      <c r="D72" s="509">
        <f>IF(F71+SUM(E$17:E71)=D$10,F71,D$10-SUM(E$17:E71))</f>
        <v>0</v>
      </c>
      <c r="E72" s="510">
        <f t="shared" si="19"/>
        <v>0</v>
      </c>
      <c r="F72" s="511">
        <f t="shared" si="20"/>
        <v>0</v>
      </c>
      <c r="G72" s="512">
        <f t="shared" si="21"/>
        <v>0</v>
      </c>
      <c r="H72" s="478">
        <f t="shared" si="22"/>
        <v>0</v>
      </c>
      <c r="I72" s="501">
        <f t="shared" si="6"/>
        <v>0</v>
      </c>
      <c r="J72" s="501"/>
      <c r="K72" s="513"/>
      <c r="L72" s="505">
        <f t="shared" si="23"/>
        <v>0</v>
      </c>
      <c r="M72" s="513"/>
      <c r="N72" s="505">
        <f t="shared" si="4"/>
        <v>0</v>
      </c>
      <c r="O72" s="505">
        <f t="shared" si="5"/>
        <v>0</v>
      </c>
      <c r="P72" s="279"/>
      <c r="R72" s="244"/>
      <c r="S72" s="244"/>
      <c r="T72" s="244"/>
      <c r="U72" s="244"/>
    </row>
    <row r="73" spans="2:21" ht="13" thickBot="1">
      <c r="B73" s="145" t="str">
        <f t="shared" si="0"/>
        <v/>
      </c>
      <c r="C73" s="525">
        <f>IF(D11="","-",+C72+1)</f>
        <v>2070</v>
      </c>
      <c r="D73" s="526">
        <f>IF(F72+SUM(E$17:E72)=D$10,F72,D$10-SUM(E$17:E72))</f>
        <v>0</v>
      </c>
      <c r="E73" s="527">
        <f t="shared" si="19"/>
        <v>0</v>
      </c>
      <c r="F73" s="528">
        <f t="shared" si="20"/>
        <v>0</v>
      </c>
      <c r="G73" s="612">
        <f t="shared" si="21"/>
        <v>0</v>
      </c>
      <c r="H73" s="459">
        <f t="shared" si="22"/>
        <v>0</v>
      </c>
      <c r="I73" s="530">
        <f t="shared" si="6"/>
        <v>0</v>
      </c>
      <c r="J73" s="501"/>
      <c r="K73" s="531"/>
      <c r="L73" s="532">
        <f t="shared" si="23"/>
        <v>0</v>
      </c>
      <c r="M73" s="531"/>
      <c r="N73" s="532">
        <f t="shared" si="4"/>
        <v>0</v>
      </c>
      <c r="O73" s="532">
        <f t="shared" si="5"/>
        <v>0</v>
      </c>
      <c r="P73" s="279"/>
      <c r="R73" s="244"/>
      <c r="S73" s="244"/>
      <c r="T73" s="244"/>
      <c r="U73" s="244"/>
    </row>
    <row r="74" spans="2:21" ht="12.5">
      <c r="C74" s="350" t="s">
        <v>75</v>
      </c>
      <c r="D74" s="295"/>
      <c r="E74" s="295">
        <f>SUM(E17:E73)</f>
        <v>10218098.369999995</v>
      </c>
      <c r="F74" s="295"/>
      <c r="G74" s="295">
        <f>SUM(G17:G73)</f>
        <v>30749173.014844518</v>
      </c>
      <c r="H74" s="295">
        <f>SUM(H17:H73)</f>
        <v>30749173.014844518</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7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1218263.6637873026</v>
      </c>
      <c r="N88" s="545">
        <f>IF(J93&lt;D11,0,VLOOKUP(J93,C17:O73,11))</f>
        <v>1218263.6637873026</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1343646.4546388765</v>
      </c>
      <c r="N89" s="549">
        <f>IF(J93&lt;D11,0,VLOOKUP(J93,C100:P155,7))</f>
        <v>1343646.4546388765</v>
      </c>
      <c r="O89" s="550">
        <f>+N89-M89</f>
        <v>0</v>
      </c>
      <c r="P89" s="244"/>
      <c r="Q89" s="244"/>
      <c r="R89" s="244"/>
      <c r="S89" s="244"/>
      <c r="T89" s="244"/>
      <c r="U89" s="244"/>
    </row>
    <row r="90" spans="1:21" ht="13.5" thickBot="1">
      <c r="C90" s="455" t="s">
        <v>82</v>
      </c>
      <c r="D90" s="551" t="str">
        <f>+D7</f>
        <v xml:space="preserve">Cornville Station Conversion </v>
      </c>
      <c r="E90" s="244"/>
      <c r="F90" s="244"/>
      <c r="G90" s="244"/>
      <c r="H90" s="244"/>
      <c r="I90" s="326"/>
      <c r="J90" s="326"/>
      <c r="K90" s="552"/>
      <c r="L90" s="553" t="s">
        <v>135</v>
      </c>
      <c r="M90" s="554">
        <f>+M89-M88</f>
        <v>125382.79085157393</v>
      </c>
      <c r="N90" s="554">
        <f>+N89-N88</f>
        <v>125382.79085157393</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TP2011093</v>
      </c>
      <c r="E92" s="559"/>
      <c r="F92" s="559"/>
      <c r="G92" s="559"/>
      <c r="H92" s="559"/>
      <c r="I92" s="559"/>
      <c r="J92" s="559"/>
      <c r="K92" s="561"/>
      <c r="P92" s="469"/>
      <c r="Q92" s="244"/>
      <c r="R92" s="244"/>
      <c r="S92" s="244"/>
      <c r="T92" s="244"/>
      <c r="U92" s="244"/>
    </row>
    <row r="93" spans="1:21" ht="13">
      <c r="C93" s="473" t="s">
        <v>49</v>
      </c>
      <c r="D93" s="471">
        <f>IF(D11=I10,0,D10)</f>
        <v>10218098.369999999</v>
      </c>
      <c r="E93" s="249" t="s">
        <v>84</v>
      </c>
      <c r="H93" s="409"/>
      <c r="I93" s="409"/>
      <c r="J93" s="472">
        <f>+'OKT.WS.G.BPU.ATRR.True-up'!M16</f>
        <v>2023</v>
      </c>
      <c r="K93" s="468"/>
      <c r="L93" s="295" t="s">
        <v>85</v>
      </c>
      <c r="P93" s="279"/>
      <c r="Q93" s="244"/>
      <c r="R93" s="244"/>
      <c r="S93" s="244"/>
      <c r="T93" s="244"/>
      <c r="U93" s="244"/>
    </row>
    <row r="94" spans="1:21" ht="12.5">
      <c r="C94" s="473" t="s">
        <v>52</v>
      </c>
      <c r="D94" s="562">
        <f>IF(D11=I10,"",D11)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10</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537794.65105263155</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55" si="24">IF(D100=F99,"","IU")</f>
        <v>IU</v>
      </c>
      <c r="C100" s="496">
        <f>IF(D94= "","-",D94)</f>
        <v>2014</v>
      </c>
      <c r="D100" s="613">
        <v>0</v>
      </c>
      <c r="E100" s="614">
        <v>102248.51895114942</v>
      </c>
      <c r="F100" s="615">
        <v>10064175.65104885</v>
      </c>
      <c r="G100" s="616">
        <v>5032087.8255244251</v>
      </c>
      <c r="H100" s="616">
        <v>643416.4924496013</v>
      </c>
      <c r="I100" s="616">
        <v>643416.4924496013</v>
      </c>
      <c r="J100" s="617">
        <v>0</v>
      </c>
      <c r="K100" s="505"/>
      <c r="L100" s="507">
        <f t="shared" ref="L100:L105" si="25">H100</f>
        <v>643416.4924496013</v>
      </c>
      <c r="M100" s="505">
        <f t="shared" ref="M100:M105" si="26">IF(L100&lt;&gt;0,+H100-L100,0)</f>
        <v>0</v>
      </c>
      <c r="N100" s="507">
        <f t="shared" ref="N100:N105" si="27">I100</f>
        <v>643416.4924496013</v>
      </c>
      <c r="O100" s="505">
        <f>IF(N100&lt;&gt;0,+I100-N100,0)</f>
        <v>0</v>
      </c>
      <c r="P100" s="505">
        <f>+O100-M100</f>
        <v>0</v>
      </c>
      <c r="Q100" s="244"/>
      <c r="R100" s="244"/>
      <c r="S100" s="244"/>
      <c r="T100" s="244"/>
      <c r="U100" s="244"/>
    </row>
    <row r="101" spans="1:21" ht="12.5">
      <c r="B101" s="145" t="str">
        <f t="shared" si="24"/>
        <v>IU</v>
      </c>
      <c r="C101" s="496">
        <f>IF(D94="","-",+C100+1)</f>
        <v>2015</v>
      </c>
      <c r="D101" s="618">
        <v>10115489.48104885</v>
      </c>
      <c r="E101" s="618">
        <v>212869.54166666666</v>
      </c>
      <c r="F101" s="618">
        <v>9902619.9393821843</v>
      </c>
      <c r="G101" s="618">
        <v>10009054.710215516</v>
      </c>
      <c r="H101" s="618">
        <v>1327171.8833094309</v>
      </c>
      <c r="I101" s="618">
        <v>1327171.8833094309</v>
      </c>
      <c r="J101" s="618">
        <v>0</v>
      </c>
      <c r="K101" s="505"/>
      <c r="L101" s="507">
        <f t="shared" si="25"/>
        <v>1327171.8833094309</v>
      </c>
      <c r="M101" s="505">
        <f t="shared" si="26"/>
        <v>0</v>
      </c>
      <c r="N101" s="507">
        <f t="shared" si="27"/>
        <v>1327171.8833094309</v>
      </c>
      <c r="O101" s="505">
        <f t="shared" ref="O101:O131" si="28">IF(N101&lt;&gt;0,+I101-N101,0)</f>
        <v>0</v>
      </c>
      <c r="P101" s="505">
        <f t="shared" ref="P101:P131" si="29">+O101-M101</f>
        <v>0</v>
      </c>
      <c r="Q101" s="244"/>
      <c r="R101" s="244"/>
      <c r="S101" s="244"/>
      <c r="T101" s="244"/>
      <c r="U101" s="244"/>
    </row>
    <row r="102" spans="1:21" ht="12.5">
      <c r="B102" s="145" t="str">
        <f t="shared" si="24"/>
        <v>IU</v>
      </c>
      <c r="C102" s="496">
        <f>IF(D94="","-",+C101+1)</f>
        <v>2016</v>
      </c>
      <c r="D102" s="618">
        <v>9902979.9393821843</v>
      </c>
      <c r="E102" s="618">
        <v>200354.86274509804</v>
      </c>
      <c r="F102" s="618">
        <v>9702625.0766370855</v>
      </c>
      <c r="G102" s="618">
        <v>9802802.5080096349</v>
      </c>
      <c r="H102" s="618">
        <v>1262679.2712885526</v>
      </c>
      <c r="I102" s="618">
        <v>1262679.2712885526</v>
      </c>
      <c r="J102" s="505">
        <f t="shared" ref="J102:J155" si="30">+I102-H102</f>
        <v>0</v>
      </c>
      <c r="K102" s="505"/>
      <c r="L102" s="507">
        <f t="shared" si="25"/>
        <v>1262679.2712885526</v>
      </c>
      <c r="M102" s="505">
        <f t="shared" si="26"/>
        <v>0</v>
      </c>
      <c r="N102" s="507">
        <f t="shared" si="27"/>
        <v>1262679.2712885526</v>
      </c>
      <c r="O102" s="505">
        <f>IF(N102&lt;&gt;0,+I102-N102,0)</f>
        <v>0</v>
      </c>
      <c r="P102" s="505">
        <f>+O102-M102</f>
        <v>0</v>
      </c>
      <c r="Q102" s="244"/>
      <c r="R102" s="244"/>
      <c r="S102" s="244"/>
      <c r="T102" s="244"/>
      <c r="U102" s="244"/>
    </row>
    <row r="103" spans="1:21" ht="12.5">
      <c r="B103" s="145" t="str">
        <f t="shared" si="24"/>
        <v/>
      </c>
      <c r="C103" s="496">
        <f>IF(D94="","-",+C102+1)</f>
        <v>2017</v>
      </c>
      <c r="D103" s="618">
        <v>9702625.0766370855</v>
      </c>
      <c r="E103" s="618">
        <v>255452.45</v>
      </c>
      <c r="F103" s="618">
        <v>9447172.6266370863</v>
      </c>
      <c r="G103" s="618">
        <v>9574898.8516370859</v>
      </c>
      <c r="H103" s="618">
        <v>1378931.4814948814</v>
      </c>
      <c r="I103" s="618">
        <v>1378931.4814948814</v>
      </c>
      <c r="J103" s="505">
        <f t="shared" si="30"/>
        <v>0</v>
      </c>
      <c r="K103" s="505"/>
      <c r="L103" s="507">
        <f t="shared" si="25"/>
        <v>1378931.4814948814</v>
      </c>
      <c r="M103" s="505">
        <f t="shared" si="26"/>
        <v>0</v>
      </c>
      <c r="N103" s="507">
        <f t="shared" si="27"/>
        <v>1378931.4814948814</v>
      </c>
      <c r="O103" s="505">
        <f>IF(N103&lt;&gt;0,+I103-N103,0)</f>
        <v>0</v>
      </c>
      <c r="P103" s="505">
        <f>+O103-M103</f>
        <v>0</v>
      </c>
      <c r="Q103" s="244"/>
      <c r="R103" s="244"/>
      <c r="S103" s="244"/>
      <c r="T103" s="244"/>
      <c r="U103" s="244"/>
    </row>
    <row r="104" spans="1:21" ht="12.5">
      <c r="B104" s="145" t="str">
        <f t="shared" si="24"/>
        <v/>
      </c>
      <c r="C104" s="496">
        <f>IF(D94="","-",+C103+1)</f>
        <v>2018</v>
      </c>
      <c r="D104" s="618">
        <v>9447172.6266370863</v>
      </c>
      <c r="E104" s="618">
        <v>283836.05555555556</v>
      </c>
      <c r="F104" s="618">
        <v>9163336.5710815303</v>
      </c>
      <c r="G104" s="618">
        <v>9305254.5988593083</v>
      </c>
      <c r="H104" s="618">
        <v>1266121.5205016474</v>
      </c>
      <c r="I104" s="618">
        <v>1266121.5205016474</v>
      </c>
      <c r="J104" s="505">
        <f t="shared" si="30"/>
        <v>0</v>
      </c>
      <c r="K104" s="505"/>
      <c r="L104" s="507">
        <f t="shared" si="25"/>
        <v>1266121.5205016474</v>
      </c>
      <c r="M104" s="505">
        <f t="shared" si="26"/>
        <v>0</v>
      </c>
      <c r="N104" s="507">
        <f t="shared" si="27"/>
        <v>1266121.5205016474</v>
      </c>
      <c r="O104" s="505">
        <f>IF(N104&lt;&gt;0,+I104-N104,0)</f>
        <v>0</v>
      </c>
      <c r="P104" s="505">
        <f>+O104-M104</f>
        <v>0</v>
      </c>
      <c r="Q104" s="244"/>
      <c r="R104" s="244"/>
      <c r="S104" s="244"/>
      <c r="T104" s="244"/>
      <c r="U104" s="244"/>
    </row>
    <row r="105" spans="1:21" ht="12.5">
      <c r="B105" s="145" t="str">
        <f t="shared" si="24"/>
        <v/>
      </c>
      <c r="C105" s="496">
        <f>IF(D94="","-",+C104+1)</f>
        <v>2019</v>
      </c>
      <c r="D105" s="618">
        <v>9163336.5710815303</v>
      </c>
      <c r="E105" s="618">
        <v>283836.05555555556</v>
      </c>
      <c r="F105" s="618">
        <v>8879500.5155259743</v>
      </c>
      <c r="G105" s="618">
        <v>9021418.5433037523</v>
      </c>
      <c r="H105" s="618">
        <v>1236159.0913345795</v>
      </c>
      <c r="I105" s="618">
        <v>1236159.0913345795</v>
      </c>
      <c r="J105" s="505">
        <f t="shared" si="30"/>
        <v>0</v>
      </c>
      <c r="K105" s="505"/>
      <c r="L105" s="507">
        <f t="shared" si="25"/>
        <v>1236159.0913345795</v>
      </c>
      <c r="M105" s="505">
        <f t="shared" si="26"/>
        <v>0</v>
      </c>
      <c r="N105" s="507">
        <f t="shared" si="27"/>
        <v>1236159.0913345795</v>
      </c>
      <c r="O105" s="505">
        <f>IF(N105&lt;&gt;0,+I105-N105,0)</f>
        <v>0</v>
      </c>
      <c r="P105" s="505">
        <f t="shared" si="29"/>
        <v>0</v>
      </c>
      <c r="Q105" s="244"/>
      <c r="R105" s="244"/>
      <c r="S105" s="244"/>
      <c r="T105" s="244"/>
      <c r="U105" s="244"/>
    </row>
    <row r="106" spans="1:21" ht="12.5">
      <c r="B106" s="145" t="str">
        <f t="shared" si="24"/>
        <v/>
      </c>
      <c r="C106" s="496">
        <f>IF(D94="","-",+C105+1)</f>
        <v>2020</v>
      </c>
      <c r="D106" s="618">
        <v>8879500.5155259743</v>
      </c>
      <c r="E106" s="618">
        <v>364932.07142857142</v>
      </c>
      <c r="F106" s="618">
        <v>8514568.4440974034</v>
      </c>
      <c r="G106" s="618">
        <v>8697034.4798116889</v>
      </c>
      <c r="H106" s="618">
        <v>1290413.9410906809</v>
      </c>
      <c r="I106" s="618">
        <v>1290413.9410906809</v>
      </c>
      <c r="J106" s="505">
        <f t="shared" si="30"/>
        <v>0</v>
      </c>
      <c r="K106" s="505"/>
      <c r="L106" s="507">
        <f t="shared" ref="L106" si="31">H106</f>
        <v>1290413.9410906809</v>
      </c>
      <c r="M106" s="505">
        <f t="shared" ref="M106" si="32">IF(L106&lt;&gt;0,+H106-L106,0)</f>
        <v>0</v>
      </c>
      <c r="N106" s="507">
        <f t="shared" ref="N106" si="33">I106</f>
        <v>1290413.9410906809</v>
      </c>
      <c r="O106" s="505">
        <f t="shared" si="28"/>
        <v>0</v>
      </c>
      <c r="P106" s="505">
        <f t="shared" si="29"/>
        <v>0</v>
      </c>
      <c r="Q106" s="244"/>
      <c r="R106" s="244"/>
      <c r="S106" s="244"/>
      <c r="T106" s="244"/>
      <c r="U106" s="244"/>
    </row>
    <row r="107" spans="1:21" ht="12.5">
      <c r="B107" s="145" t="str">
        <f t="shared" si="24"/>
        <v/>
      </c>
      <c r="C107" s="496">
        <f>IF(D94="","-",+C106+1)</f>
        <v>2021</v>
      </c>
      <c r="D107" s="618">
        <v>8514568.4440974034</v>
      </c>
      <c r="E107" s="618">
        <v>408723.92</v>
      </c>
      <c r="F107" s="618">
        <v>8105844.5240974035</v>
      </c>
      <c r="G107" s="618">
        <v>8310206.4840974035</v>
      </c>
      <c r="H107" s="618">
        <v>1389012.6064432291</v>
      </c>
      <c r="I107" s="618">
        <v>1389012.6064432291</v>
      </c>
      <c r="J107" s="505">
        <f t="shared" si="30"/>
        <v>0</v>
      </c>
      <c r="K107" s="505"/>
      <c r="L107" s="507">
        <f t="shared" ref="L107" si="34">H107</f>
        <v>1389012.6064432291</v>
      </c>
      <c r="M107" s="505">
        <f t="shared" ref="M107" si="35">IF(L107&lt;&gt;0,+H107-L107,0)</f>
        <v>0</v>
      </c>
      <c r="N107" s="507">
        <f t="shared" ref="N107" si="36">I107</f>
        <v>1389012.6064432291</v>
      </c>
      <c r="O107" s="505">
        <f t="shared" si="28"/>
        <v>0</v>
      </c>
      <c r="P107" s="505">
        <f t="shared" si="29"/>
        <v>0</v>
      </c>
      <c r="Q107" s="244"/>
      <c r="R107" s="244"/>
      <c r="S107" s="244"/>
      <c r="T107" s="244"/>
      <c r="U107" s="244"/>
    </row>
    <row r="108" spans="1:21" ht="12.5">
      <c r="B108" s="145" t="str">
        <f t="shared" si="24"/>
        <v/>
      </c>
      <c r="C108" s="496">
        <f>IF(D94="","-",+C107+1)</f>
        <v>2022</v>
      </c>
      <c r="D108" s="618">
        <v>8105844.5240974035</v>
      </c>
      <c r="E108" s="618">
        <v>486576.09523809527</v>
      </c>
      <c r="F108" s="618">
        <v>7619268.4288593084</v>
      </c>
      <c r="G108" s="618">
        <v>7862556.4764783559</v>
      </c>
      <c r="H108" s="618">
        <v>1390502.8888887735</v>
      </c>
      <c r="I108" s="618">
        <v>1390502.8888887735</v>
      </c>
      <c r="J108" s="505">
        <f t="shared" si="30"/>
        <v>0</v>
      </c>
      <c r="K108" s="505"/>
      <c r="L108" s="507">
        <f t="shared" ref="L108" si="37">H108</f>
        <v>1390502.8888887735</v>
      </c>
      <c r="M108" s="505">
        <f t="shared" ref="M108" si="38">IF(L108&lt;&gt;0,+H108-L108,0)</f>
        <v>0</v>
      </c>
      <c r="N108" s="507">
        <f t="shared" ref="N108" si="39">I108</f>
        <v>1390502.8888887735</v>
      </c>
      <c r="O108" s="505">
        <f t="shared" ref="O108" si="40">IF(N108&lt;&gt;0,+I108-N108,0)</f>
        <v>0</v>
      </c>
      <c r="P108" s="505">
        <f t="shared" ref="P108" si="41">+O108-M108</f>
        <v>0</v>
      </c>
      <c r="Q108" s="244"/>
      <c r="R108" s="244"/>
      <c r="S108" s="244"/>
      <c r="T108" s="244"/>
      <c r="U108" s="244"/>
    </row>
    <row r="109" spans="1:21" ht="12.5">
      <c r="B109" s="145" t="str">
        <f t="shared" si="24"/>
        <v>IU</v>
      </c>
      <c r="C109" s="496">
        <f>IF(D94="","-",+C108+1)</f>
        <v>2023</v>
      </c>
      <c r="D109" s="350">
        <f>IF(F108+SUM(E$100:E108)=D$93,F108,D$93-SUM(E$100:E108))</f>
        <v>7619268.7988593075</v>
      </c>
      <c r="E109" s="510">
        <f t="shared" ref="E109:E155" si="42">IF(+$J$97&lt;F108,$J$97,D109)</f>
        <v>537794.65105263155</v>
      </c>
      <c r="F109" s="511">
        <f t="shared" ref="F109:F155" si="43">+D109-E109</f>
        <v>7081474.1478066761</v>
      </c>
      <c r="G109" s="511">
        <f t="shared" ref="G109:G155" si="44">+(F109+D109)/2</f>
        <v>7350371.4733329918</v>
      </c>
      <c r="H109" s="645">
        <f t="shared" ref="H109:H155" si="45">(D109+F109)/2*J$95+E109</f>
        <v>1343646.4546388765</v>
      </c>
      <c r="I109" s="573">
        <f t="shared" ref="I109:I155" si="46">+J$96*G109+E109</f>
        <v>1343646.4546388765</v>
      </c>
      <c r="J109" s="505">
        <f t="shared" si="30"/>
        <v>0</v>
      </c>
      <c r="K109" s="505"/>
      <c r="L109" s="513"/>
      <c r="M109" s="505">
        <f t="shared" ref="M109:M131" si="47">IF(L109&lt;&gt;0,+H109-L109,0)</f>
        <v>0</v>
      </c>
      <c r="N109" s="513"/>
      <c r="O109" s="505">
        <f t="shared" si="28"/>
        <v>0</v>
      </c>
      <c r="P109" s="505">
        <f t="shared" si="29"/>
        <v>0</v>
      </c>
      <c r="Q109" s="244"/>
      <c r="R109" s="244"/>
      <c r="S109" s="244"/>
      <c r="T109" s="244"/>
      <c r="U109" s="244"/>
    </row>
    <row r="110" spans="1:21" ht="12.5">
      <c r="B110" s="145" t="str">
        <f t="shared" si="24"/>
        <v/>
      </c>
      <c r="C110" s="496">
        <f>IF(D94="","-",+C109+1)</f>
        <v>2024</v>
      </c>
      <c r="D110" s="350">
        <f>IF(F109+SUM(E$100:E109)=D$93,F109,D$93-SUM(E$100:E109))</f>
        <v>7081474.1478066761</v>
      </c>
      <c r="E110" s="510">
        <f t="shared" si="42"/>
        <v>537794.65105263155</v>
      </c>
      <c r="F110" s="511">
        <f t="shared" si="43"/>
        <v>6543679.4967540447</v>
      </c>
      <c r="G110" s="511">
        <f t="shared" si="44"/>
        <v>6812576.8222803604</v>
      </c>
      <c r="H110" s="645">
        <f t="shared" si="45"/>
        <v>1284685.7897143753</v>
      </c>
      <c r="I110" s="573">
        <f t="shared" si="46"/>
        <v>1284685.7897143753</v>
      </c>
      <c r="J110" s="505">
        <f t="shared" si="30"/>
        <v>0</v>
      </c>
      <c r="K110" s="505"/>
      <c r="L110" s="513"/>
      <c r="M110" s="505">
        <f t="shared" si="47"/>
        <v>0</v>
      </c>
      <c r="N110" s="513"/>
      <c r="O110" s="505">
        <f t="shared" si="28"/>
        <v>0</v>
      </c>
      <c r="P110" s="505">
        <f t="shared" si="29"/>
        <v>0</v>
      </c>
      <c r="Q110" s="244"/>
      <c r="R110" s="244"/>
      <c r="S110" s="244"/>
      <c r="T110" s="244"/>
      <c r="U110" s="244"/>
    </row>
    <row r="111" spans="1:21" ht="12.5">
      <c r="B111" s="145" t="str">
        <f t="shared" si="24"/>
        <v/>
      </c>
      <c r="C111" s="496">
        <f>IF(D94="","-",+C110+1)</f>
        <v>2025</v>
      </c>
      <c r="D111" s="350">
        <f>IF(F110+SUM(E$100:E110)=D$93,F110,D$93-SUM(E$100:E110))</f>
        <v>6543679.4967540447</v>
      </c>
      <c r="E111" s="510">
        <f t="shared" si="42"/>
        <v>537794.65105263155</v>
      </c>
      <c r="F111" s="511">
        <f t="shared" si="43"/>
        <v>6005884.8457014132</v>
      </c>
      <c r="G111" s="511">
        <f t="shared" si="44"/>
        <v>6274782.1712277289</v>
      </c>
      <c r="H111" s="645">
        <f t="shared" si="45"/>
        <v>1225725.1247898741</v>
      </c>
      <c r="I111" s="573">
        <f t="shared" si="46"/>
        <v>1225725.1247898741</v>
      </c>
      <c r="J111" s="505">
        <f t="shared" si="30"/>
        <v>0</v>
      </c>
      <c r="K111" s="505"/>
      <c r="L111" s="513"/>
      <c r="M111" s="505">
        <f t="shared" si="47"/>
        <v>0</v>
      </c>
      <c r="N111" s="513"/>
      <c r="O111" s="505">
        <f t="shared" si="28"/>
        <v>0</v>
      </c>
      <c r="P111" s="505">
        <f t="shared" si="29"/>
        <v>0</v>
      </c>
      <c r="Q111" s="244"/>
      <c r="R111" s="244"/>
      <c r="S111" s="244"/>
      <c r="T111" s="244"/>
      <c r="U111" s="244"/>
    </row>
    <row r="112" spans="1:21" ht="12.5">
      <c r="B112" s="145" t="str">
        <f t="shared" si="24"/>
        <v/>
      </c>
      <c r="C112" s="496">
        <f>IF(D94="","-",+C111+1)</f>
        <v>2026</v>
      </c>
      <c r="D112" s="350">
        <f>IF(F111+SUM(E$100:E111)=D$93,F111,D$93-SUM(E$100:E111))</f>
        <v>6005884.8457014132</v>
      </c>
      <c r="E112" s="510">
        <f t="shared" si="42"/>
        <v>537794.65105263155</v>
      </c>
      <c r="F112" s="511">
        <f t="shared" si="43"/>
        <v>5468090.1946487818</v>
      </c>
      <c r="G112" s="511">
        <f t="shared" si="44"/>
        <v>5736987.5201750975</v>
      </c>
      <c r="H112" s="645">
        <f t="shared" si="45"/>
        <v>1166764.4598653731</v>
      </c>
      <c r="I112" s="573">
        <f t="shared" si="46"/>
        <v>1166764.4598653731</v>
      </c>
      <c r="J112" s="505">
        <f t="shared" si="30"/>
        <v>0</v>
      </c>
      <c r="K112" s="505"/>
      <c r="L112" s="513"/>
      <c r="M112" s="505">
        <f t="shared" si="47"/>
        <v>0</v>
      </c>
      <c r="N112" s="513"/>
      <c r="O112" s="505">
        <f t="shared" si="28"/>
        <v>0</v>
      </c>
      <c r="P112" s="505">
        <f t="shared" si="29"/>
        <v>0</v>
      </c>
      <c r="Q112" s="244"/>
      <c r="R112" s="244"/>
      <c r="S112" s="244"/>
      <c r="T112" s="244"/>
      <c r="U112" s="244"/>
    </row>
    <row r="113" spans="2:21" ht="12.5">
      <c r="B113" s="145" t="str">
        <f t="shared" si="24"/>
        <v/>
      </c>
      <c r="C113" s="496">
        <f>IF(D94="","-",+C112+1)</f>
        <v>2027</v>
      </c>
      <c r="D113" s="350">
        <f>IF(F112+SUM(E$100:E112)=D$93,F112,D$93-SUM(E$100:E112))</f>
        <v>5468090.1946487818</v>
      </c>
      <c r="E113" s="510">
        <f t="shared" si="42"/>
        <v>537794.65105263155</v>
      </c>
      <c r="F113" s="511">
        <f t="shared" si="43"/>
        <v>4930295.5435961504</v>
      </c>
      <c r="G113" s="511">
        <f t="shared" si="44"/>
        <v>5199192.8691224661</v>
      </c>
      <c r="H113" s="645">
        <f t="shared" si="45"/>
        <v>1107803.7949408719</v>
      </c>
      <c r="I113" s="573">
        <f t="shared" si="46"/>
        <v>1107803.7949408719</v>
      </c>
      <c r="J113" s="505">
        <f t="shared" si="30"/>
        <v>0</v>
      </c>
      <c r="K113" s="505"/>
      <c r="L113" s="513"/>
      <c r="M113" s="505">
        <f t="shared" si="47"/>
        <v>0</v>
      </c>
      <c r="N113" s="513"/>
      <c r="O113" s="505">
        <f t="shared" si="28"/>
        <v>0</v>
      </c>
      <c r="P113" s="505">
        <f t="shared" si="29"/>
        <v>0</v>
      </c>
      <c r="Q113" s="244"/>
      <c r="R113" s="244"/>
      <c r="S113" s="244"/>
      <c r="T113" s="244"/>
      <c r="U113" s="244"/>
    </row>
    <row r="114" spans="2:21" ht="12.5">
      <c r="B114" s="145" t="str">
        <f t="shared" si="24"/>
        <v/>
      </c>
      <c r="C114" s="496">
        <f>IF(D94="","-",+C113+1)</f>
        <v>2028</v>
      </c>
      <c r="D114" s="350">
        <f>IF(F113+SUM(E$100:E113)=D$93,F113,D$93-SUM(E$100:E113))</f>
        <v>4930295.5435961504</v>
      </c>
      <c r="E114" s="510">
        <f t="shared" si="42"/>
        <v>537794.65105263155</v>
      </c>
      <c r="F114" s="511">
        <f t="shared" si="43"/>
        <v>4392500.8925435189</v>
      </c>
      <c r="G114" s="511">
        <f t="shared" si="44"/>
        <v>4661398.2180698346</v>
      </c>
      <c r="H114" s="645">
        <f t="shared" si="45"/>
        <v>1048843.1300163707</v>
      </c>
      <c r="I114" s="573">
        <f t="shared" si="46"/>
        <v>1048843.1300163707</v>
      </c>
      <c r="J114" s="505">
        <f t="shared" si="30"/>
        <v>0</v>
      </c>
      <c r="K114" s="505"/>
      <c r="L114" s="513"/>
      <c r="M114" s="505">
        <f t="shared" si="47"/>
        <v>0</v>
      </c>
      <c r="N114" s="513"/>
      <c r="O114" s="505">
        <f t="shared" si="28"/>
        <v>0</v>
      </c>
      <c r="P114" s="505">
        <f t="shared" si="29"/>
        <v>0</v>
      </c>
      <c r="Q114" s="244"/>
      <c r="R114" s="244"/>
      <c r="S114" s="244"/>
      <c r="T114" s="244"/>
      <c r="U114" s="244"/>
    </row>
    <row r="115" spans="2:21" ht="12.5">
      <c r="B115" s="145" t="str">
        <f t="shared" si="24"/>
        <v/>
      </c>
      <c r="C115" s="496">
        <f>IF(D94="","-",+C114+1)</f>
        <v>2029</v>
      </c>
      <c r="D115" s="350">
        <f>IF(F114+SUM(E$100:E114)=D$93,F114,D$93-SUM(E$100:E114))</f>
        <v>4392500.8925435189</v>
      </c>
      <c r="E115" s="510">
        <f t="shared" si="42"/>
        <v>537794.65105263155</v>
      </c>
      <c r="F115" s="511">
        <f t="shared" si="43"/>
        <v>3854706.2414908875</v>
      </c>
      <c r="G115" s="511">
        <f t="shared" si="44"/>
        <v>4123603.5670172032</v>
      </c>
      <c r="H115" s="645">
        <f t="shared" si="45"/>
        <v>989882.4650918697</v>
      </c>
      <c r="I115" s="573">
        <f t="shared" si="46"/>
        <v>989882.4650918697</v>
      </c>
      <c r="J115" s="505">
        <f t="shared" si="30"/>
        <v>0</v>
      </c>
      <c r="K115" s="505"/>
      <c r="L115" s="513"/>
      <c r="M115" s="505">
        <f t="shared" si="47"/>
        <v>0</v>
      </c>
      <c r="N115" s="513"/>
      <c r="O115" s="505">
        <f t="shared" si="28"/>
        <v>0</v>
      </c>
      <c r="P115" s="505">
        <f t="shared" si="29"/>
        <v>0</v>
      </c>
      <c r="Q115" s="244"/>
      <c r="R115" s="244"/>
      <c r="S115" s="244"/>
      <c r="T115" s="244"/>
      <c r="U115" s="244"/>
    </row>
    <row r="116" spans="2:21" ht="12.5">
      <c r="B116" s="145" t="str">
        <f t="shared" si="24"/>
        <v/>
      </c>
      <c r="C116" s="496">
        <f>IF(D94="","-",+C115+1)</f>
        <v>2030</v>
      </c>
      <c r="D116" s="350">
        <f>IF(F115+SUM(E$100:E115)=D$93,F115,D$93-SUM(E$100:E115))</f>
        <v>3854706.2414908875</v>
      </c>
      <c r="E116" s="510">
        <f t="shared" si="42"/>
        <v>537794.65105263155</v>
      </c>
      <c r="F116" s="511">
        <f t="shared" si="43"/>
        <v>3316911.590438256</v>
      </c>
      <c r="G116" s="511">
        <f t="shared" si="44"/>
        <v>3585808.9159645718</v>
      </c>
      <c r="H116" s="645">
        <f t="shared" si="45"/>
        <v>930921.80016736849</v>
      </c>
      <c r="I116" s="573">
        <f t="shared" si="46"/>
        <v>930921.80016736849</v>
      </c>
      <c r="J116" s="505">
        <f t="shared" si="30"/>
        <v>0</v>
      </c>
      <c r="K116" s="505"/>
      <c r="L116" s="513"/>
      <c r="M116" s="505">
        <f t="shared" si="47"/>
        <v>0</v>
      </c>
      <c r="N116" s="513"/>
      <c r="O116" s="505">
        <f t="shared" si="28"/>
        <v>0</v>
      </c>
      <c r="P116" s="505">
        <f t="shared" si="29"/>
        <v>0</v>
      </c>
      <c r="Q116" s="244"/>
      <c r="R116" s="244"/>
      <c r="S116" s="244"/>
      <c r="T116" s="244"/>
      <c r="U116" s="244"/>
    </row>
    <row r="117" spans="2:21" ht="12.5">
      <c r="B117" s="145" t="str">
        <f t="shared" si="24"/>
        <v/>
      </c>
      <c r="C117" s="496">
        <f>IF(D94="","-",+C116+1)</f>
        <v>2031</v>
      </c>
      <c r="D117" s="350">
        <f>IF(F116+SUM(E$100:E116)=D$93,F116,D$93-SUM(E$100:E116))</f>
        <v>3316911.590438256</v>
      </c>
      <c r="E117" s="510">
        <f t="shared" si="42"/>
        <v>537794.65105263155</v>
      </c>
      <c r="F117" s="511">
        <f t="shared" si="43"/>
        <v>2779116.9393856246</v>
      </c>
      <c r="G117" s="511">
        <f t="shared" si="44"/>
        <v>3048014.2649119403</v>
      </c>
      <c r="H117" s="645">
        <f t="shared" si="45"/>
        <v>871961.13524286728</v>
      </c>
      <c r="I117" s="573">
        <f t="shared" si="46"/>
        <v>871961.13524286728</v>
      </c>
      <c r="J117" s="505">
        <f t="shared" si="30"/>
        <v>0</v>
      </c>
      <c r="K117" s="505"/>
      <c r="L117" s="513"/>
      <c r="M117" s="505">
        <f t="shared" si="47"/>
        <v>0</v>
      </c>
      <c r="N117" s="513"/>
      <c r="O117" s="505">
        <f t="shared" si="28"/>
        <v>0</v>
      </c>
      <c r="P117" s="505">
        <f t="shared" si="29"/>
        <v>0</v>
      </c>
      <c r="Q117" s="244"/>
      <c r="R117" s="244"/>
      <c r="S117" s="244"/>
      <c r="T117" s="244"/>
      <c r="U117" s="244"/>
    </row>
    <row r="118" spans="2:21" ht="12.5">
      <c r="B118" s="145" t="str">
        <f t="shared" si="24"/>
        <v/>
      </c>
      <c r="C118" s="496">
        <f>IF(D94="","-",+C117+1)</f>
        <v>2032</v>
      </c>
      <c r="D118" s="350">
        <f>IF(F117+SUM(E$100:E117)=D$93,F117,D$93-SUM(E$100:E117))</f>
        <v>2779116.9393856246</v>
      </c>
      <c r="E118" s="510">
        <f t="shared" si="42"/>
        <v>537794.65105263155</v>
      </c>
      <c r="F118" s="511">
        <f t="shared" si="43"/>
        <v>2241322.2883329932</v>
      </c>
      <c r="G118" s="511">
        <f t="shared" si="44"/>
        <v>2510219.6138593089</v>
      </c>
      <c r="H118" s="645">
        <f t="shared" si="45"/>
        <v>813000.47031836619</v>
      </c>
      <c r="I118" s="573">
        <f t="shared" si="46"/>
        <v>813000.47031836619</v>
      </c>
      <c r="J118" s="505">
        <f t="shared" si="30"/>
        <v>0</v>
      </c>
      <c r="K118" s="505"/>
      <c r="L118" s="513"/>
      <c r="M118" s="505">
        <f t="shared" si="47"/>
        <v>0</v>
      </c>
      <c r="N118" s="513"/>
      <c r="O118" s="505">
        <f t="shared" si="28"/>
        <v>0</v>
      </c>
      <c r="P118" s="505">
        <f t="shared" si="29"/>
        <v>0</v>
      </c>
      <c r="Q118" s="244"/>
      <c r="R118" s="244"/>
      <c r="S118" s="244"/>
      <c r="T118" s="244"/>
      <c r="U118" s="244"/>
    </row>
    <row r="119" spans="2:21" ht="12.5">
      <c r="B119" s="145" t="str">
        <f t="shared" si="24"/>
        <v/>
      </c>
      <c r="C119" s="496">
        <f>IF(D94="","-",+C118+1)</f>
        <v>2033</v>
      </c>
      <c r="D119" s="350">
        <f>IF(F118+SUM(E$100:E118)=D$93,F118,D$93-SUM(E$100:E118))</f>
        <v>2241322.2883329932</v>
      </c>
      <c r="E119" s="510">
        <f t="shared" si="42"/>
        <v>537794.65105263155</v>
      </c>
      <c r="F119" s="511">
        <f t="shared" si="43"/>
        <v>1703527.6372803617</v>
      </c>
      <c r="G119" s="511">
        <f t="shared" si="44"/>
        <v>1972424.9628066774</v>
      </c>
      <c r="H119" s="645">
        <f t="shared" si="45"/>
        <v>754039.8053938651</v>
      </c>
      <c r="I119" s="573">
        <f t="shared" si="46"/>
        <v>754039.8053938651</v>
      </c>
      <c r="J119" s="505">
        <f t="shared" si="30"/>
        <v>0</v>
      </c>
      <c r="K119" s="505"/>
      <c r="L119" s="513"/>
      <c r="M119" s="505">
        <f t="shared" si="47"/>
        <v>0</v>
      </c>
      <c r="N119" s="513"/>
      <c r="O119" s="505">
        <f t="shared" si="28"/>
        <v>0</v>
      </c>
      <c r="P119" s="505">
        <f t="shared" si="29"/>
        <v>0</v>
      </c>
      <c r="Q119" s="244"/>
      <c r="R119" s="244"/>
      <c r="S119" s="244"/>
      <c r="T119" s="244"/>
      <c r="U119" s="244"/>
    </row>
    <row r="120" spans="2:21" ht="12.5">
      <c r="B120" s="145" t="str">
        <f t="shared" si="24"/>
        <v/>
      </c>
      <c r="C120" s="496">
        <f>IF(D94="","-",+C119+1)</f>
        <v>2034</v>
      </c>
      <c r="D120" s="350">
        <f>IF(F119+SUM(E$100:E119)=D$93,F119,D$93-SUM(E$100:E119))</f>
        <v>1703527.6372803617</v>
      </c>
      <c r="E120" s="510">
        <f t="shared" si="42"/>
        <v>537794.65105263155</v>
      </c>
      <c r="F120" s="511">
        <f t="shared" si="43"/>
        <v>1165732.9862277303</v>
      </c>
      <c r="G120" s="511">
        <f t="shared" si="44"/>
        <v>1434630.311754046</v>
      </c>
      <c r="H120" s="645">
        <f t="shared" si="45"/>
        <v>695079.14046936389</v>
      </c>
      <c r="I120" s="573">
        <f t="shared" si="46"/>
        <v>695079.14046936389</v>
      </c>
      <c r="J120" s="505">
        <f t="shared" si="30"/>
        <v>0</v>
      </c>
      <c r="K120" s="505"/>
      <c r="L120" s="513"/>
      <c r="M120" s="505">
        <f t="shared" si="47"/>
        <v>0</v>
      </c>
      <c r="N120" s="513"/>
      <c r="O120" s="505">
        <f t="shared" si="28"/>
        <v>0</v>
      </c>
      <c r="P120" s="505">
        <f t="shared" si="29"/>
        <v>0</v>
      </c>
      <c r="Q120" s="244"/>
      <c r="R120" s="244"/>
      <c r="S120" s="244"/>
      <c r="T120" s="244"/>
      <c r="U120" s="244"/>
    </row>
    <row r="121" spans="2:21" ht="12.5">
      <c r="B121" s="145" t="str">
        <f t="shared" si="24"/>
        <v/>
      </c>
      <c r="C121" s="496">
        <f>IF(D94="","-",+C120+1)</f>
        <v>2035</v>
      </c>
      <c r="D121" s="350">
        <f>IF(F120+SUM(E$100:E120)=D$93,F120,D$93-SUM(E$100:E120))</f>
        <v>1165732.9862277303</v>
      </c>
      <c r="E121" s="510">
        <f t="shared" si="42"/>
        <v>537794.65105263155</v>
      </c>
      <c r="F121" s="511">
        <f t="shared" si="43"/>
        <v>627938.33517509873</v>
      </c>
      <c r="G121" s="511">
        <f t="shared" si="44"/>
        <v>896835.66070141457</v>
      </c>
      <c r="H121" s="645">
        <f t="shared" si="45"/>
        <v>636118.4755448628</v>
      </c>
      <c r="I121" s="573">
        <f t="shared" si="46"/>
        <v>636118.4755448628</v>
      </c>
      <c r="J121" s="505">
        <f t="shared" si="30"/>
        <v>0</v>
      </c>
      <c r="K121" s="505"/>
      <c r="L121" s="513"/>
      <c r="M121" s="505">
        <f t="shared" si="47"/>
        <v>0</v>
      </c>
      <c r="N121" s="513"/>
      <c r="O121" s="505">
        <f t="shared" si="28"/>
        <v>0</v>
      </c>
      <c r="P121" s="505">
        <f t="shared" si="29"/>
        <v>0</v>
      </c>
      <c r="Q121" s="244"/>
      <c r="R121" s="244"/>
      <c r="S121" s="244"/>
      <c r="T121" s="244"/>
      <c r="U121" s="244"/>
    </row>
    <row r="122" spans="2:21" ht="12.5">
      <c r="B122" s="145" t="str">
        <f t="shared" si="24"/>
        <v/>
      </c>
      <c r="C122" s="496">
        <f>IF(D94="","-",+C121+1)</f>
        <v>2036</v>
      </c>
      <c r="D122" s="350">
        <f>IF(F121+SUM(E$100:E121)=D$93,F121,D$93-SUM(E$100:E121))</f>
        <v>627938.33517509873</v>
      </c>
      <c r="E122" s="510">
        <f t="shared" si="42"/>
        <v>537794.65105263155</v>
      </c>
      <c r="F122" s="511">
        <f t="shared" si="43"/>
        <v>90143.684122467181</v>
      </c>
      <c r="G122" s="511">
        <f t="shared" si="44"/>
        <v>359041.00964878296</v>
      </c>
      <c r="H122" s="645">
        <f t="shared" si="45"/>
        <v>577157.81062036171</v>
      </c>
      <c r="I122" s="573">
        <f t="shared" si="46"/>
        <v>577157.81062036171</v>
      </c>
      <c r="J122" s="505">
        <f t="shared" si="30"/>
        <v>0</v>
      </c>
      <c r="K122" s="505"/>
      <c r="L122" s="513"/>
      <c r="M122" s="505">
        <f t="shared" si="47"/>
        <v>0</v>
      </c>
      <c r="N122" s="513"/>
      <c r="O122" s="505">
        <f t="shared" si="28"/>
        <v>0</v>
      </c>
      <c r="P122" s="505">
        <f t="shared" si="29"/>
        <v>0</v>
      </c>
      <c r="Q122" s="244"/>
      <c r="R122" s="244"/>
      <c r="S122" s="244"/>
      <c r="T122" s="244"/>
      <c r="U122" s="244"/>
    </row>
    <row r="123" spans="2:21" ht="12.5">
      <c r="B123" s="145" t="str">
        <f t="shared" si="24"/>
        <v/>
      </c>
      <c r="C123" s="496">
        <f>IF(D94="","-",+C122+1)</f>
        <v>2037</v>
      </c>
      <c r="D123" s="350">
        <f>IF(F122+SUM(E$100:E122)=D$93,F122,D$93-SUM(E$100:E122))</f>
        <v>90143.684122467181</v>
      </c>
      <c r="E123" s="510">
        <f t="shared" si="42"/>
        <v>90143.684122467181</v>
      </c>
      <c r="F123" s="511">
        <f t="shared" si="43"/>
        <v>0</v>
      </c>
      <c r="G123" s="511">
        <f t="shared" si="44"/>
        <v>45071.84206123359</v>
      </c>
      <c r="H123" s="645">
        <f t="shared" si="45"/>
        <v>95085.097675206955</v>
      </c>
      <c r="I123" s="573">
        <f t="shared" si="46"/>
        <v>95085.097675206955</v>
      </c>
      <c r="J123" s="505">
        <f t="shared" si="30"/>
        <v>0</v>
      </c>
      <c r="K123" s="505"/>
      <c r="L123" s="513"/>
      <c r="M123" s="505">
        <f t="shared" si="47"/>
        <v>0</v>
      </c>
      <c r="N123" s="513"/>
      <c r="O123" s="505">
        <f t="shared" si="28"/>
        <v>0</v>
      </c>
      <c r="P123" s="505">
        <f t="shared" si="29"/>
        <v>0</v>
      </c>
      <c r="Q123" s="244"/>
      <c r="R123" s="244"/>
      <c r="S123" s="244"/>
      <c r="T123" s="244"/>
      <c r="U123" s="244"/>
    </row>
    <row r="124" spans="2:21" ht="12.5">
      <c r="B124" s="145" t="str">
        <f t="shared" si="24"/>
        <v/>
      </c>
      <c r="C124" s="496">
        <f>IF(D94="","-",+C123+1)</f>
        <v>2038</v>
      </c>
      <c r="D124" s="350">
        <f>IF(F123+SUM(E$100:E123)=D$93,F123,D$93-SUM(E$100:E123))</f>
        <v>0</v>
      </c>
      <c r="E124" s="510">
        <f t="shared" si="42"/>
        <v>0</v>
      </c>
      <c r="F124" s="511">
        <f t="shared" si="43"/>
        <v>0</v>
      </c>
      <c r="G124" s="511">
        <f t="shared" si="44"/>
        <v>0</v>
      </c>
      <c r="H124" s="645">
        <f t="shared" si="45"/>
        <v>0</v>
      </c>
      <c r="I124" s="573">
        <f t="shared" si="46"/>
        <v>0</v>
      </c>
      <c r="J124" s="505">
        <f t="shared" si="30"/>
        <v>0</v>
      </c>
      <c r="K124" s="505"/>
      <c r="L124" s="513"/>
      <c r="M124" s="505">
        <f t="shared" si="47"/>
        <v>0</v>
      </c>
      <c r="N124" s="513"/>
      <c r="O124" s="505">
        <f t="shared" si="28"/>
        <v>0</v>
      </c>
      <c r="P124" s="505">
        <f t="shared" si="29"/>
        <v>0</v>
      </c>
      <c r="Q124" s="244"/>
      <c r="R124" s="244"/>
      <c r="S124" s="244"/>
      <c r="T124" s="244"/>
      <c r="U124" s="244"/>
    </row>
    <row r="125" spans="2:21" ht="12.5">
      <c r="B125" s="145" t="str">
        <f t="shared" si="24"/>
        <v/>
      </c>
      <c r="C125" s="496">
        <f>IF(D94="","-",+C124+1)</f>
        <v>2039</v>
      </c>
      <c r="D125" s="350">
        <f>IF(F124+SUM(E$100:E124)=D$93,F124,D$93-SUM(E$100:E124))</f>
        <v>0</v>
      </c>
      <c r="E125" s="510">
        <f t="shared" si="42"/>
        <v>0</v>
      </c>
      <c r="F125" s="511">
        <f t="shared" si="43"/>
        <v>0</v>
      </c>
      <c r="G125" s="511">
        <f t="shared" si="44"/>
        <v>0</v>
      </c>
      <c r="H125" s="645">
        <f t="shared" si="45"/>
        <v>0</v>
      </c>
      <c r="I125" s="573">
        <f t="shared" si="46"/>
        <v>0</v>
      </c>
      <c r="J125" s="505">
        <f t="shared" si="30"/>
        <v>0</v>
      </c>
      <c r="K125" s="505"/>
      <c r="L125" s="513"/>
      <c r="M125" s="505">
        <f t="shared" si="47"/>
        <v>0</v>
      </c>
      <c r="N125" s="513"/>
      <c r="O125" s="505">
        <f t="shared" si="28"/>
        <v>0</v>
      </c>
      <c r="P125" s="505">
        <f t="shared" si="29"/>
        <v>0</v>
      </c>
      <c r="Q125" s="244"/>
      <c r="R125" s="244"/>
      <c r="S125" s="244"/>
      <c r="T125" s="244"/>
      <c r="U125" s="244"/>
    </row>
    <row r="126" spans="2:21" ht="12.5">
      <c r="B126" s="145" t="str">
        <f t="shared" si="24"/>
        <v/>
      </c>
      <c r="C126" s="496">
        <f>IF(D94="","-",+C125+1)</f>
        <v>2040</v>
      </c>
      <c r="D126" s="350">
        <f>IF(F125+SUM(E$100:E125)=D$93,F125,D$93-SUM(E$100:E125))</f>
        <v>0</v>
      </c>
      <c r="E126" s="510">
        <f t="shared" si="42"/>
        <v>0</v>
      </c>
      <c r="F126" s="511">
        <f t="shared" si="43"/>
        <v>0</v>
      </c>
      <c r="G126" s="511">
        <f t="shared" si="44"/>
        <v>0</v>
      </c>
      <c r="H126" s="645">
        <f t="shared" si="45"/>
        <v>0</v>
      </c>
      <c r="I126" s="573">
        <f t="shared" si="46"/>
        <v>0</v>
      </c>
      <c r="J126" s="505">
        <f t="shared" si="30"/>
        <v>0</v>
      </c>
      <c r="K126" s="505"/>
      <c r="L126" s="513"/>
      <c r="M126" s="505">
        <f t="shared" si="47"/>
        <v>0</v>
      </c>
      <c r="N126" s="513"/>
      <c r="O126" s="505">
        <f t="shared" si="28"/>
        <v>0</v>
      </c>
      <c r="P126" s="505">
        <f t="shared" si="29"/>
        <v>0</v>
      </c>
      <c r="Q126" s="244"/>
      <c r="R126" s="244"/>
      <c r="S126" s="244"/>
      <c r="T126" s="244"/>
      <c r="U126" s="244"/>
    </row>
    <row r="127" spans="2:21" ht="12.5">
      <c r="B127" s="145" t="str">
        <f t="shared" si="24"/>
        <v/>
      </c>
      <c r="C127" s="496">
        <f>IF(D94="","-",+C126+1)</f>
        <v>2041</v>
      </c>
      <c r="D127" s="350">
        <f>IF(F126+SUM(E$100:E126)=D$93,F126,D$93-SUM(E$100:E126))</f>
        <v>0</v>
      </c>
      <c r="E127" s="510">
        <f t="shared" si="42"/>
        <v>0</v>
      </c>
      <c r="F127" s="511">
        <f t="shared" si="43"/>
        <v>0</v>
      </c>
      <c r="G127" s="511">
        <f t="shared" si="44"/>
        <v>0</v>
      </c>
      <c r="H127" s="645">
        <f t="shared" si="45"/>
        <v>0</v>
      </c>
      <c r="I127" s="573">
        <f t="shared" si="46"/>
        <v>0</v>
      </c>
      <c r="J127" s="505">
        <f t="shared" si="30"/>
        <v>0</v>
      </c>
      <c r="K127" s="505"/>
      <c r="L127" s="513"/>
      <c r="M127" s="505">
        <f t="shared" si="47"/>
        <v>0</v>
      </c>
      <c r="N127" s="513"/>
      <c r="O127" s="505">
        <f t="shared" si="28"/>
        <v>0</v>
      </c>
      <c r="P127" s="505">
        <f t="shared" si="29"/>
        <v>0</v>
      </c>
      <c r="Q127" s="244"/>
      <c r="R127" s="244"/>
      <c r="S127" s="244"/>
      <c r="T127" s="244"/>
      <c r="U127" s="244"/>
    </row>
    <row r="128" spans="2:21" ht="12.5">
      <c r="B128" s="145" t="str">
        <f t="shared" si="24"/>
        <v/>
      </c>
      <c r="C128" s="496">
        <f>IF(D94="","-",+C127+1)</f>
        <v>2042</v>
      </c>
      <c r="D128" s="350">
        <f>IF(F127+SUM(E$100:E127)=D$93,F127,D$93-SUM(E$100:E127))</f>
        <v>0</v>
      </c>
      <c r="E128" s="510">
        <f t="shared" si="42"/>
        <v>0</v>
      </c>
      <c r="F128" s="511">
        <f t="shared" si="43"/>
        <v>0</v>
      </c>
      <c r="G128" s="511">
        <f t="shared" si="44"/>
        <v>0</v>
      </c>
      <c r="H128" s="645">
        <f t="shared" si="45"/>
        <v>0</v>
      </c>
      <c r="I128" s="573">
        <f t="shared" si="46"/>
        <v>0</v>
      </c>
      <c r="J128" s="505">
        <f t="shared" si="30"/>
        <v>0</v>
      </c>
      <c r="K128" s="505"/>
      <c r="L128" s="513"/>
      <c r="M128" s="505">
        <f t="shared" si="47"/>
        <v>0</v>
      </c>
      <c r="N128" s="513"/>
      <c r="O128" s="505">
        <f t="shared" si="28"/>
        <v>0</v>
      </c>
      <c r="P128" s="505">
        <f t="shared" si="29"/>
        <v>0</v>
      </c>
      <c r="Q128" s="244"/>
      <c r="R128" s="244"/>
      <c r="S128" s="244"/>
      <c r="T128" s="244"/>
      <c r="U128" s="244"/>
    </row>
    <row r="129" spans="2:21" ht="12.5">
      <c r="B129" s="145" t="str">
        <f t="shared" si="24"/>
        <v/>
      </c>
      <c r="C129" s="496">
        <f>IF(D94="","-",+C128+1)</f>
        <v>2043</v>
      </c>
      <c r="D129" s="350">
        <f>IF(F128+SUM(E$100:E128)=D$93,F128,D$93-SUM(E$100:E128))</f>
        <v>0</v>
      </c>
      <c r="E129" s="510">
        <f t="shared" si="42"/>
        <v>0</v>
      </c>
      <c r="F129" s="511">
        <f t="shared" si="43"/>
        <v>0</v>
      </c>
      <c r="G129" s="511">
        <f t="shared" si="44"/>
        <v>0</v>
      </c>
      <c r="H129" s="645">
        <f t="shared" si="45"/>
        <v>0</v>
      </c>
      <c r="I129" s="573">
        <f t="shared" si="46"/>
        <v>0</v>
      </c>
      <c r="J129" s="505">
        <f t="shared" si="30"/>
        <v>0</v>
      </c>
      <c r="K129" s="505"/>
      <c r="L129" s="513"/>
      <c r="M129" s="505">
        <f t="shared" si="47"/>
        <v>0</v>
      </c>
      <c r="N129" s="513"/>
      <c r="O129" s="505">
        <f t="shared" si="28"/>
        <v>0</v>
      </c>
      <c r="P129" s="505">
        <f t="shared" si="29"/>
        <v>0</v>
      </c>
      <c r="Q129" s="244"/>
      <c r="R129" s="244"/>
      <c r="S129" s="244"/>
      <c r="T129" s="244"/>
      <c r="U129" s="244"/>
    </row>
    <row r="130" spans="2:21" ht="12.5">
      <c r="B130" s="145" t="str">
        <f t="shared" si="24"/>
        <v/>
      </c>
      <c r="C130" s="496">
        <f>IF(D94="","-",+C129+1)</f>
        <v>2044</v>
      </c>
      <c r="D130" s="350">
        <f>IF(F129+SUM(E$100:E129)=D$93,F129,D$93-SUM(E$100:E129))</f>
        <v>0</v>
      </c>
      <c r="E130" s="510">
        <f t="shared" si="42"/>
        <v>0</v>
      </c>
      <c r="F130" s="511">
        <f t="shared" si="43"/>
        <v>0</v>
      </c>
      <c r="G130" s="511">
        <f t="shared" si="44"/>
        <v>0</v>
      </c>
      <c r="H130" s="645">
        <f t="shared" si="45"/>
        <v>0</v>
      </c>
      <c r="I130" s="573">
        <f t="shared" si="46"/>
        <v>0</v>
      </c>
      <c r="J130" s="505">
        <f t="shared" si="30"/>
        <v>0</v>
      </c>
      <c r="K130" s="505"/>
      <c r="L130" s="513"/>
      <c r="M130" s="505">
        <f t="shared" si="47"/>
        <v>0</v>
      </c>
      <c r="N130" s="513"/>
      <c r="O130" s="505">
        <f t="shared" si="28"/>
        <v>0</v>
      </c>
      <c r="P130" s="505">
        <f t="shared" si="29"/>
        <v>0</v>
      </c>
      <c r="Q130" s="244"/>
      <c r="R130" s="244"/>
      <c r="S130" s="244"/>
      <c r="T130" s="244"/>
      <c r="U130" s="244"/>
    </row>
    <row r="131" spans="2:21" ht="12.5">
      <c r="B131" s="145" t="str">
        <f t="shared" si="24"/>
        <v/>
      </c>
      <c r="C131" s="496">
        <f>IF(D94="","-",+C130+1)</f>
        <v>2045</v>
      </c>
      <c r="D131" s="350">
        <f>IF(F130+SUM(E$100:E130)=D$93,F130,D$93-SUM(E$100:E130))</f>
        <v>0</v>
      </c>
      <c r="E131" s="510">
        <f t="shared" si="42"/>
        <v>0</v>
      </c>
      <c r="F131" s="511">
        <f t="shared" si="43"/>
        <v>0</v>
      </c>
      <c r="G131" s="511">
        <f t="shared" si="44"/>
        <v>0</v>
      </c>
      <c r="H131" s="645">
        <f t="shared" si="45"/>
        <v>0</v>
      </c>
      <c r="I131" s="573">
        <f t="shared" si="46"/>
        <v>0</v>
      </c>
      <c r="J131" s="505">
        <f t="shared" si="30"/>
        <v>0</v>
      </c>
      <c r="K131" s="505"/>
      <c r="L131" s="513"/>
      <c r="M131" s="505">
        <f t="shared" si="47"/>
        <v>0</v>
      </c>
      <c r="N131" s="513"/>
      <c r="O131" s="505">
        <f t="shared" si="28"/>
        <v>0</v>
      </c>
      <c r="P131" s="505">
        <f t="shared" si="29"/>
        <v>0</v>
      </c>
      <c r="Q131" s="244"/>
      <c r="R131" s="244"/>
      <c r="S131" s="244"/>
      <c r="T131" s="244"/>
      <c r="U131" s="244"/>
    </row>
    <row r="132" spans="2:21" ht="12.5">
      <c r="B132" s="145" t="str">
        <f t="shared" si="24"/>
        <v/>
      </c>
      <c r="C132" s="496">
        <f>IF(D94="","-",+C131+1)</f>
        <v>2046</v>
      </c>
      <c r="D132" s="350">
        <f>IF(F131+SUM(E$100:E131)=D$93,F131,D$93-SUM(E$100:E131))</f>
        <v>0</v>
      </c>
      <c r="E132" s="510">
        <f t="shared" si="42"/>
        <v>0</v>
      </c>
      <c r="F132" s="511">
        <f t="shared" si="43"/>
        <v>0</v>
      </c>
      <c r="G132" s="511">
        <f t="shared" si="44"/>
        <v>0</v>
      </c>
      <c r="H132" s="645">
        <f t="shared" si="45"/>
        <v>0</v>
      </c>
      <c r="I132" s="573">
        <f t="shared" si="46"/>
        <v>0</v>
      </c>
      <c r="J132" s="505">
        <f t="shared" si="30"/>
        <v>0</v>
      </c>
      <c r="K132" s="505"/>
      <c r="L132" s="513"/>
      <c r="M132" s="505">
        <f t="shared" ref="M132:M155" si="48">IF(L542&lt;&gt;0,+H542-L542,0)</f>
        <v>0</v>
      </c>
      <c r="N132" s="513"/>
      <c r="O132" s="505">
        <f t="shared" ref="O132:O155" si="49">IF(N542&lt;&gt;0,+I542-N542,0)</f>
        <v>0</v>
      </c>
      <c r="P132" s="505">
        <f t="shared" ref="P132:P155" si="50">+O542-M542</f>
        <v>0</v>
      </c>
      <c r="Q132" s="244"/>
      <c r="R132" s="244"/>
      <c r="S132" s="244"/>
      <c r="T132" s="244"/>
      <c r="U132" s="244"/>
    </row>
    <row r="133" spans="2:21" ht="12.5">
      <c r="B133" s="145" t="str">
        <f t="shared" si="24"/>
        <v/>
      </c>
      <c r="C133" s="496">
        <f>IF(D94="","-",+C132+1)</f>
        <v>2047</v>
      </c>
      <c r="D133" s="350">
        <f>IF(F132+SUM(E$100:E132)=D$93,F132,D$93-SUM(E$100:E132))</f>
        <v>0</v>
      </c>
      <c r="E133" s="510">
        <f t="shared" si="42"/>
        <v>0</v>
      </c>
      <c r="F133" s="511">
        <f t="shared" si="43"/>
        <v>0</v>
      </c>
      <c r="G133" s="511">
        <f t="shared" si="44"/>
        <v>0</v>
      </c>
      <c r="H133" s="645">
        <f t="shared" si="45"/>
        <v>0</v>
      </c>
      <c r="I133" s="573">
        <f t="shared" si="46"/>
        <v>0</v>
      </c>
      <c r="J133" s="505">
        <f t="shared" si="30"/>
        <v>0</v>
      </c>
      <c r="K133" s="505"/>
      <c r="L133" s="513"/>
      <c r="M133" s="505">
        <f t="shared" si="48"/>
        <v>0</v>
      </c>
      <c r="N133" s="513"/>
      <c r="O133" s="505">
        <f t="shared" si="49"/>
        <v>0</v>
      </c>
      <c r="P133" s="505">
        <f t="shared" si="50"/>
        <v>0</v>
      </c>
      <c r="Q133" s="244"/>
      <c r="R133" s="244"/>
      <c r="S133" s="244"/>
      <c r="T133" s="244"/>
      <c r="U133" s="244"/>
    </row>
    <row r="134" spans="2:21" ht="12.5">
      <c r="B134" s="145" t="str">
        <f t="shared" si="24"/>
        <v/>
      </c>
      <c r="C134" s="496">
        <f>IF(D94="","-",+C133+1)</f>
        <v>2048</v>
      </c>
      <c r="D134" s="350">
        <f>IF(F133+SUM(E$100:E133)=D$93,F133,D$93-SUM(E$100:E133))</f>
        <v>0</v>
      </c>
      <c r="E134" s="510">
        <f t="shared" si="42"/>
        <v>0</v>
      </c>
      <c r="F134" s="511">
        <f t="shared" si="43"/>
        <v>0</v>
      </c>
      <c r="G134" s="511">
        <f t="shared" si="44"/>
        <v>0</v>
      </c>
      <c r="H134" s="645">
        <f t="shared" si="45"/>
        <v>0</v>
      </c>
      <c r="I134" s="573">
        <f t="shared" si="46"/>
        <v>0</v>
      </c>
      <c r="J134" s="505">
        <f t="shared" si="30"/>
        <v>0</v>
      </c>
      <c r="K134" s="505"/>
      <c r="L134" s="513"/>
      <c r="M134" s="505">
        <f t="shared" si="48"/>
        <v>0</v>
      </c>
      <c r="N134" s="513"/>
      <c r="O134" s="505">
        <f t="shared" si="49"/>
        <v>0</v>
      </c>
      <c r="P134" s="505">
        <f t="shared" si="50"/>
        <v>0</v>
      </c>
      <c r="Q134" s="244"/>
      <c r="R134" s="244"/>
      <c r="S134" s="244"/>
      <c r="T134" s="244"/>
      <c r="U134" s="244"/>
    </row>
    <row r="135" spans="2:21" ht="12.5">
      <c r="B135" s="145" t="str">
        <f t="shared" si="24"/>
        <v/>
      </c>
      <c r="C135" s="496">
        <f>IF(D94="","-",+C134+1)</f>
        <v>2049</v>
      </c>
      <c r="D135" s="350">
        <f>IF(F134+SUM(E$100:E134)=D$93,F134,D$93-SUM(E$100:E134))</f>
        <v>0</v>
      </c>
      <c r="E135" s="510">
        <f t="shared" si="42"/>
        <v>0</v>
      </c>
      <c r="F135" s="511">
        <f t="shared" si="43"/>
        <v>0</v>
      </c>
      <c r="G135" s="511">
        <f t="shared" si="44"/>
        <v>0</v>
      </c>
      <c r="H135" s="645">
        <f t="shared" si="45"/>
        <v>0</v>
      </c>
      <c r="I135" s="573">
        <f t="shared" si="46"/>
        <v>0</v>
      </c>
      <c r="J135" s="505">
        <f t="shared" si="30"/>
        <v>0</v>
      </c>
      <c r="K135" s="505"/>
      <c r="L135" s="513"/>
      <c r="M135" s="505">
        <f t="shared" si="48"/>
        <v>0</v>
      </c>
      <c r="N135" s="513"/>
      <c r="O135" s="505">
        <f t="shared" si="49"/>
        <v>0</v>
      </c>
      <c r="P135" s="505">
        <f t="shared" si="50"/>
        <v>0</v>
      </c>
      <c r="Q135" s="244"/>
      <c r="R135" s="244"/>
      <c r="S135" s="244"/>
      <c r="T135" s="244"/>
      <c r="U135" s="244"/>
    </row>
    <row r="136" spans="2:21" ht="12.5">
      <c r="B136" s="145" t="str">
        <f t="shared" si="24"/>
        <v/>
      </c>
      <c r="C136" s="496">
        <f>IF(D94="","-",+C135+1)</f>
        <v>2050</v>
      </c>
      <c r="D136" s="350">
        <f>IF(F135+SUM(E$100:E135)=D$93,F135,D$93-SUM(E$100:E135))</f>
        <v>0</v>
      </c>
      <c r="E136" s="510">
        <f t="shared" si="42"/>
        <v>0</v>
      </c>
      <c r="F136" s="511">
        <f t="shared" si="43"/>
        <v>0</v>
      </c>
      <c r="G136" s="511">
        <f t="shared" si="44"/>
        <v>0</v>
      </c>
      <c r="H136" s="645">
        <f t="shared" si="45"/>
        <v>0</v>
      </c>
      <c r="I136" s="573">
        <f t="shared" si="46"/>
        <v>0</v>
      </c>
      <c r="J136" s="505">
        <f t="shared" si="30"/>
        <v>0</v>
      </c>
      <c r="K136" s="505"/>
      <c r="L136" s="513"/>
      <c r="M136" s="505">
        <f t="shared" si="48"/>
        <v>0</v>
      </c>
      <c r="N136" s="513"/>
      <c r="O136" s="505">
        <f t="shared" si="49"/>
        <v>0</v>
      </c>
      <c r="P136" s="505">
        <f t="shared" si="50"/>
        <v>0</v>
      </c>
      <c r="Q136" s="244"/>
      <c r="R136" s="244"/>
      <c r="S136" s="244"/>
      <c r="T136" s="244"/>
      <c r="U136" s="244"/>
    </row>
    <row r="137" spans="2:21" ht="12.5">
      <c r="B137" s="145" t="str">
        <f t="shared" si="24"/>
        <v/>
      </c>
      <c r="C137" s="496">
        <f>IF(D94="","-",+C136+1)</f>
        <v>2051</v>
      </c>
      <c r="D137" s="350">
        <f>IF(F136+SUM(E$100:E136)=D$93,F136,D$93-SUM(E$100:E136))</f>
        <v>0</v>
      </c>
      <c r="E137" s="510">
        <f t="shared" si="42"/>
        <v>0</v>
      </c>
      <c r="F137" s="511">
        <f t="shared" si="43"/>
        <v>0</v>
      </c>
      <c r="G137" s="511">
        <f t="shared" si="44"/>
        <v>0</v>
      </c>
      <c r="H137" s="645">
        <f t="shared" si="45"/>
        <v>0</v>
      </c>
      <c r="I137" s="573">
        <f t="shared" si="46"/>
        <v>0</v>
      </c>
      <c r="J137" s="505">
        <f t="shared" si="30"/>
        <v>0</v>
      </c>
      <c r="K137" s="505"/>
      <c r="L137" s="513"/>
      <c r="M137" s="505">
        <f t="shared" si="48"/>
        <v>0</v>
      </c>
      <c r="N137" s="513"/>
      <c r="O137" s="505">
        <f t="shared" si="49"/>
        <v>0</v>
      </c>
      <c r="P137" s="505">
        <f t="shared" si="50"/>
        <v>0</v>
      </c>
      <c r="Q137" s="244"/>
      <c r="R137" s="244"/>
      <c r="S137" s="244"/>
      <c r="T137" s="244"/>
      <c r="U137" s="244"/>
    </row>
    <row r="138" spans="2:21" ht="12.5">
      <c r="B138" s="145" t="str">
        <f t="shared" si="24"/>
        <v/>
      </c>
      <c r="C138" s="496">
        <f>IF(D94="","-",+C137+1)</f>
        <v>2052</v>
      </c>
      <c r="D138" s="350">
        <f>IF(F137+SUM(E$100:E137)=D$93,F137,D$93-SUM(E$100:E137))</f>
        <v>0</v>
      </c>
      <c r="E138" s="510">
        <f t="shared" si="42"/>
        <v>0</v>
      </c>
      <c r="F138" s="511">
        <f t="shared" si="43"/>
        <v>0</v>
      </c>
      <c r="G138" s="511">
        <f t="shared" si="44"/>
        <v>0</v>
      </c>
      <c r="H138" s="645">
        <f t="shared" si="45"/>
        <v>0</v>
      </c>
      <c r="I138" s="573">
        <f t="shared" si="46"/>
        <v>0</v>
      </c>
      <c r="J138" s="505">
        <f t="shared" si="30"/>
        <v>0</v>
      </c>
      <c r="K138" s="505"/>
      <c r="L138" s="513"/>
      <c r="M138" s="505">
        <f t="shared" si="48"/>
        <v>0</v>
      </c>
      <c r="N138" s="513"/>
      <c r="O138" s="505">
        <f t="shared" si="49"/>
        <v>0</v>
      </c>
      <c r="P138" s="505">
        <f t="shared" si="50"/>
        <v>0</v>
      </c>
      <c r="Q138" s="244"/>
      <c r="R138" s="244"/>
      <c r="S138" s="244"/>
      <c r="T138" s="244"/>
      <c r="U138" s="244"/>
    </row>
    <row r="139" spans="2:21" ht="12.5">
      <c r="B139" s="145" t="str">
        <f t="shared" si="24"/>
        <v/>
      </c>
      <c r="C139" s="496">
        <f>IF(D94="","-",+C138+1)</f>
        <v>2053</v>
      </c>
      <c r="D139" s="350">
        <f>IF(F138+SUM(E$100:E138)=D$93,F138,D$93-SUM(E$100:E138))</f>
        <v>0</v>
      </c>
      <c r="E139" s="510">
        <f t="shared" si="42"/>
        <v>0</v>
      </c>
      <c r="F139" s="511">
        <f t="shared" si="43"/>
        <v>0</v>
      </c>
      <c r="G139" s="511">
        <f t="shared" si="44"/>
        <v>0</v>
      </c>
      <c r="H139" s="645">
        <f t="shared" si="45"/>
        <v>0</v>
      </c>
      <c r="I139" s="573">
        <f t="shared" si="46"/>
        <v>0</v>
      </c>
      <c r="J139" s="505">
        <f t="shared" si="30"/>
        <v>0</v>
      </c>
      <c r="K139" s="505"/>
      <c r="L139" s="513"/>
      <c r="M139" s="505">
        <f t="shared" si="48"/>
        <v>0</v>
      </c>
      <c r="N139" s="513"/>
      <c r="O139" s="505">
        <f t="shared" si="49"/>
        <v>0</v>
      </c>
      <c r="P139" s="505">
        <f t="shared" si="50"/>
        <v>0</v>
      </c>
      <c r="Q139" s="244"/>
      <c r="R139" s="244"/>
      <c r="S139" s="244"/>
      <c r="T139" s="244"/>
      <c r="U139" s="244"/>
    </row>
    <row r="140" spans="2:21" ht="12.5">
      <c r="B140" s="145" t="str">
        <f t="shared" si="24"/>
        <v/>
      </c>
      <c r="C140" s="496">
        <f>IF(D94="","-",+C139+1)</f>
        <v>2054</v>
      </c>
      <c r="D140" s="350">
        <f>IF(F139+SUM(E$100:E139)=D$93,F139,D$93-SUM(E$100:E139))</f>
        <v>0</v>
      </c>
      <c r="E140" s="510">
        <f t="shared" si="42"/>
        <v>0</v>
      </c>
      <c r="F140" s="511">
        <f t="shared" si="43"/>
        <v>0</v>
      </c>
      <c r="G140" s="511">
        <f t="shared" si="44"/>
        <v>0</v>
      </c>
      <c r="H140" s="645">
        <f t="shared" si="45"/>
        <v>0</v>
      </c>
      <c r="I140" s="573">
        <f t="shared" si="46"/>
        <v>0</v>
      </c>
      <c r="J140" s="505">
        <f t="shared" si="30"/>
        <v>0</v>
      </c>
      <c r="K140" s="505"/>
      <c r="L140" s="513"/>
      <c r="M140" s="505">
        <f t="shared" si="48"/>
        <v>0</v>
      </c>
      <c r="N140" s="513"/>
      <c r="O140" s="505">
        <f t="shared" si="49"/>
        <v>0</v>
      </c>
      <c r="P140" s="505">
        <f t="shared" si="50"/>
        <v>0</v>
      </c>
      <c r="Q140" s="244"/>
      <c r="R140" s="244"/>
      <c r="S140" s="244"/>
      <c r="T140" s="244"/>
      <c r="U140" s="244"/>
    </row>
    <row r="141" spans="2:21" ht="12.5">
      <c r="B141" s="145" t="str">
        <f t="shared" si="24"/>
        <v/>
      </c>
      <c r="C141" s="496">
        <f>IF(D94="","-",+C140+1)</f>
        <v>2055</v>
      </c>
      <c r="D141" s="350">
        <f>IF(F140+SUM(E$100:E140)=D$93,F140,D$93-SUM(E$100:E140))</f>
        <v>0</v>
      </c>
      <c r="E141" s="510">
        <f t="shared" si="42"/>
        <v>0</v>
      </c>
      <c r="F141" s="511">
        <f t="shared" si="43"/>
        <v>0</v>
      </c>
      <c r="G141" s="511">
        <f t="shared" si="44"/>
        <v>0</v>
      </c>
      <c r="H141" s="645">
        <f t="shared" si="45"/>
        <v>0</v>
      </c>
      <c r="I141" s="573">
        <f t="shared" si="46"/>
        <v>0</v>
      </c>
      <c r="J141" s="505">
        <f t="shared" si="30"/>
        <v>0</v>
      </c>
      <c r="K141" s="505"/>
      <c r="L141" s="513"/>
      <c r="M141" s="505">
        <f t="shared" si="48"/>
        <v>0</v>
      </c>
      <c r="N141" s="513"/>
      <c r="O141" s="505">
        <f t="shared" si="49"/>
        <v>0</v>
      </c>
      <c r="P141" s="505">
        <f t="shared" si="50"/>
        <v>0</v>
      </c>
      <c r="Q141" s="244"/>
      <c r="R141" s="244"/>
      <c r="S141" s="244"/>
      <c r="T141" s="244"/>
      <c r="U141" s="244"/>
    </row>
    <row r="142" spans="2:21" ht="12.5">
      <c r="B142" s="145" t="str">
        <f t="shared" si="24"/>
        <v/>
      </c>
      <c r="C142" s="496">
        <f>IF(D94="","-",+C141+1)</f>
        <v>2056</v>
      </c>
      <c r="D142" s="350">
        <f>IF(F141+SUM(E$100:E141)=D$93,F141,D$93-SUM(E$100:E141))</f>
        <v>0</v>
      </c>
      <c r="E142" s="510">
        <f t="shared" si="42"/>
        <v>0</v>
      </c>
      <c r="F142" s="511">
        <f t="shared" si="43"/>
        <v>0</v>
      </c>
      <c r="G142" s="511">
        <f t="shared" si="44"/>
        <v>0</v>
      </c>
      <c r="H142" s="645">
        <f t="shared" si="45"/>
        <v>0</v>
      </c>
      <c r="I142" s="573">
        <f t="shared" si="46"/>
        <v>0</v>
      </c>
      <c r="J142" s="505">
        <f t="shared" si="30"/>
        <v>0</v>
      </c>
      <c r="K142" s="505"/>
      <c r="L142" s="513"/>
      <c r="M142" s="505">
        <f t="shared" si="48"/>
        <v>0</v>
      </c>
      <c r="N142" s="513"/>
      <c r="O142" s="505">
        <f t="shared" si="49"/>
        <v>0</v>
      </c>
      <c r="P142" s="505">
        <f t="shared" si="50"/>
        <v>0</v>
      </c>
      <c r="Q142" s="244"/>
      <c r="R142" s="244"/>
      <c r="S142" s="244"/>
      <c r="T142" s="244"/>
      <c r="U142" s="244"/>
    </row>
    <row r="143" spans="2:21" ht="12.5">
      <c r="B143" s="145" t="str">
        <f t="shared" si="24"/>
        <v/>
      </c>
      <c r="C143" s="496">
        <f>IF(D94="","-",+C142+1)</f>
        <v>2057</v>
      </c>
      <c r="D143" s="350">
        <f>IF(F142+SUM(E$100:E142)=D$93,F142,D$93-SUM(E$100:E142))</f>
        <v>0</v>
      </c>
      <c r="E143" s="510">
        <f t="shared" si="42"/>
        <v>0</v>
      </c>
      <c r="F143" s="511">
        <f t="shared" si="43"/>
        <v>0</v>
      </c>
      <c r="G143" s="511">
        <f t="shared" si="44"/>
        <v>0</v>
      </c>
      <c r="H143" s="645">
        <f t="shared" si="45"/>
        <v>0</v>
      </c>
      <c r="I143" s="573">
        <f t="shared" si="46"/>
        <v>0</v>
      </c>
      <c r="J143" s="505">
        <f t="shared" si="30"/>
        <v>0</v>
      </c>
      <c r="K143" s="505"/>
      <c r="L143" s="513"/>
      <c r="M143" s="505">
        <f t="shared" si="48"/>
        <v>0</v>
      </c>
      <c r="N143" s="513"/>
      <c r="O143" s="505">
        <f t="shared" si="49"/>
        <v>0</v>
      </c>
      <c r="P143" s="505">
        <f t="shared" si="50"/>
        <v>0</v>
      </c>
      <c r="Q143" s="244"/>
      <c r="R143" s="244"/>
      <c r="S143" s="244"/>
      <c r="T143" s="244"/>
      <c r="U143" s="244"/>
    </row>
    <row r="144" spans="2:21" ht="12.5">
      <c r="B144" s="145" t="str">
        <f t="shared" si="24"/>
        <v/>
      </c>
      <c r="C144" s="496">
        <f>IF(D94="","-",+C143+1)</f>
        <v>2058</v>
      </c>
      <c r="D144" s="350">
        <f>IF(F143+SUM(E$100:E143)=D$93,F143,D$93-SUM(E$100:E143))</f>
        <v>0</v>
      </c>
      <c r="E144" s="510">
        <f t="shared" si="42"/>
        <v>0</v>
      </c>
      <c r="F144" s="511">
        <f t="shared" si="43"/>
        <v>0</v>
      </c>
      <c r="G144" s="511">
        <f t="shared" si="44"/>
        <v>0</v>
      </c>
      <c r="H144" s="645">
        <f t="shared" si="45"/>
        <v>0</v>
      </c>
      <c r="I144" s="573">
        <f t="shared" si="46"/>
        <v>0</v>
      </c>
      <c r="J144" s="505">
        <f t="shared" si="30"/>
        <v>0</v>
      </c>
      <c r="K144" s="505"/>
      <c r="L144" s="513"/>
      <c r="M144" s="505">
        <f t="shared" si="48"/>
        <v>0</v>
      </c>
      <c r="N144" s="513"/>
      <c r="O144" s="505">
        <f t="shared" si="49"/>
        <v>0</v>
      </c>
      <c r="P144" s="505">
        <f t="shared" si="50"/>
        <v>0</v>
      </c>
      <c r="Q144" s="244"/>
      <c r="R144" s="244"/>
      <c r="S144" s="244"/>
      <c r="T144" s="244"/>
      <c r="U144" s="244"/>
    </row>
    <row r="145" spans="2:21" ht="12.5">
      <c r="B145" s="145" t="str">
        <f t="shared" si="24"/>
        <v/>
      </c>
      <c r="C145" s="496">
        <f>IF(D94="","-",+C144+1)</f>
        <v>2059</v>
      </c>
      <c r="D145" s="350">
        <f>IF(F144+SUM(E$100:E144)=D$93,F144,D$93-SUM(E$100:E144))</f>
        <v>0</v>
      </c>
      <c r="E145" s="510">
        <f t="shared" si="42"/>
        <v>0</v>
      </c>
      <c r="F145" s="511">
        <f t="shared" si="43"/>
        <v>0</v>
      </c>
      <c r="G145" s="511">
        <f t="shared" si="44"/>
        <v>0</v>
      </c>
      <c r="H145" s="645">
        <f t="shared" si="45"/>
        <v>0</v>
      </c>
      <c r="I145" s="573">
        <f t="shared" si="46"/>
        <v>0</v>
      </c>
      <c r="J145" s="505">
        <f t="shared" si="30"/>
        <v>0</v>
      </c>
      <c r="K145" s="505"/>
      <c r="L145" s="513"/>
      <c r="M145" s="505">
        <f t="shared" si="48"/>
        <v>0</v>
      </c>
      <c r="N145" s="513"/>
      <c r="O145" s="505">
        <f t="shared" si="49"/>
        <v>0</v>
      </c>
      <c r="P145" s="505">
        <f t="shared" si="50"/>
        <v>0</v>
      </c>
      <c r="Q145" s="244"/>
      <c r="R145" s="244"/>
      <c r="S145" s="244"/>
      <c r="T145" s="244"/>
      <c r="U145" s="244"/>
    </row>
    <row r="146" spans="2:21" ht="12.5">
      <c r="B146" s="145" t="str">
        <f t="shared" si="24"/>
        <v/>
      </c>
      <c r="C146" s="496">
        <f>IF(D94="","-",+C145+1)</f>
        <v>2060</v>
      </c>
      <c r="D146" s="350">
        <f>IF(F145+SUM(E$100:E145)=D$93,F145,D$93-SUM(E$100:E145))</f>
        <v>0</v>
      </c>
      <c r="E146" s="510">
        <f t="shared" si="42"/>
        <v>0</v>
      </c>
      <c r="F146" s="511">
        <f t="shared" si="43"/>
        <v>0</v>
      </c>
      <c r="G146" s="511">
        <f t="shared" si="44"/>
        <v>0</v>
      </c>
      <c r="H146" s="645">
        <f t="shared" si="45"/>
        <v>0</v>
      </c>
      <c r="I146" s="573">
        <f t="shared" si="46"/>
        <v>0</v>
      </c>
      <c r="J146" s="505">
        <f t="shared" si="30"/>
        <v>0</v>
      </c>
      <c r="K146" s="505"/>
      <c r="L146" s="513"/>
      <c r="M146" s="505">
        <f t="shared" si="48"/>
        <v>0</v>
      </c>
      <c r="N146" s="513"/>
      <c r="O146" s="505">
        <f t="shared" si="49"/>
        <v>0</v>
      </c>
      <c r="P146" s="505">
        <f t="shared" si="50"/>
        <v>0</v>
      </c>
      <c r="Q146" s="244"/>
      <c r="R146" s="244"/>
      <c r="S146" s="244"/>
      <c r="T146" s="244"/>
      <c r="U146" s="244"/>
    </row>
    <row r="147" spans="2:21" ht="12.5">
      <c r="B147" s="145" t="str">
        <f t="shared" si="24"/>
        <v/>
      </c>
      <c r="C147" s="496">
        <f>IF(D94="","-",+C146+1)</f>
        <v>2061</v>
      </c>
      <c r="D147" s="350">
        <f>IF(F146+SUM(E$100:E146)=D$93,F146,D$93-SUM(E$100:E146))</f>
        <v>0</v>
      </c>
      <c r="E147" s="510">
        <f t="shared" si="42"/>
        <v>0</v>
      </c>
      <c r="F147" s="511">
        <f t="shared" si="43"/>
        <v>0</v>
      </c>
      <c r="G147" s="511">
        <f t="shared" si="44"/>
        <v>0</v>
      </c>
      <c r="H147" s="645">
        <f t="shared" si="45"/>
        <v>0</v>
      </c>
      <c r="I147" s="573">
        <f t="shared" si="46"/>
        <v>0</v>
      </c>
      <c r="J147" s="505">
        <f t="shared" si="30"/>
        <v>0</v>
      </c>
      <c r="K147" s="505"/>
      <c r="L147" s="513"/>
      <c r="M147" s="505">
        <f t="shared" si="48"/>
        <v>0</v>
      </c>
      <c r="N147" s="513"/>
      <c r="O147" s="505">
        <f t="shared" si="49"/>
        <v>0</v>
      </c>
      <c r="P147" s="505">
        <f t="shared" si="50"/>
        <v>0</v>
      </c>
      <c r="Q147" s="244"/>
      <c r="R147" s="244"/>
      <c r="S147" s="244"/>
      <c r="T147" s="244"/>
      <c r="U147" s="244"/>
    </row>
    <row r="148" spans="2:21" ht="12.5">
      <c r="B148" s="145" t="str">
        <f t="shared" si="24"/>
        <v/>
      </c>
      <c r="C148" s="496">
        <f>IF(D94="","-",+C147+1)</f>
        <v>2062</v>
      </c>
      <c r="D148" s="350">
        <f>IF(F147+SUM(E$100:E147)=D$93,F147,D$93-SUM(E$100:E147))</f>
        <v>0</v>
      </c>
      <c r="E148" s="510">
        <f t="shared" si="42"/>
        <v>0</v>
      </c>
      <c r="F148" s="511">
        <f t="shared" si="43"/>
        <v>0</v>
      </c>
      <c r="G148" s="511">
        <f t="shared" si="44"/>
        <v>0</v>
      </c>
      <c r="H148" s="645">
        <f t="shared" si="45"/>
        <v>0</v>
      </c>
      <c r="I148" s="573">
        <f t="shared" si="46"/>
        <v>0</v>
      </c>
      <c r="J148" s="505">
        <f t="shared" si="30"/>
        <v>0</v>
      </c>
      <c r="K148" s="505"/>
      <c r="L148" s="513"/>
      <c r="M148" s="505">
        <f t="shared" si="48"/>
        <v>0</v>
      </c>
      <c r="N148" s="513"/>
      <c r="O148" s="505">
        <f t="shared" si="49"/>
        <v>0</v>
      </c>
      <c r="P148" s="505">
        <f t="shared" si="50"/>
        <v>0</v>
      </c>
      <c r="Q148" s="244"/>
      <c r="R148" s="244"/>
      <c r="S148" s="244"/>
      <c r="T148" s="244"/>
      <c r="U148" s="244"/>
    </row>
    <row r="149" spans="2:21" ht="12.5">
      <c r="B149" s="145" t="str">
        <f t="shared" si="24"/>
        <v/>
      </c>
      <c r="C149" s="496">
        <f>IF(D94="","-",+C148+1)</f>
        <v>2063</v>
      </c>
      <c r="D149" s="350">
        <f>IF(F148+SUM(E$100:E148)=D$93,F148,D$93-SUM(E$100:E148))</f>
        <v>0</v>
      </c>
      <c r="E149" s="510">
        <f t="shared" si="42"/>
        <v>0</v>
      </c>
      <c r="F149" s="511">
        <f t="shared" si="43"/>
        <v>0</v>
      </c>
      <c r="G149" s="511">
        <f t="shared" si="44"/>
        <v>0</v>
      </c>
      <c r="H149" s="645">
        <f t="shared" si="45"/>
        <v>0</v>
      </c>
      <c r="I149" s="573">
        <f t="shared" si="46"/>
        <v>0</v>
      </c>
      <c r="J149" s="505">
        <f t="shared" si="30"/>
        <v>0</v>
      </c>
      <c r="K149" s="505"/>
      <c r="L149" s="513"/>
      <c r="M149" s="505">
        <f t="shared" si="48"/>
        <v>0</v>
      </c>
      <c r="N149" s="513"/>
      <c r="O149" s="505">
        <f t="shared" si="49"/>
        <v>0</v>
      </c>
      <c r="P149" s="505">
        <f t="shared" si="50"/>
        <v>0</v>
      </c>
      <c r="Q149" s="244"/>
      <c r="R149" s="244"/>
      <c r="S149" s="244"/>
      <c r="T149" s="244"/>
      <c r="U149" s="244"/>
    </row>
    <row r="150" spans="2:21" ht="12.5">
      <c r="B150" s="145" t="str">
        <f t="shared" si="24"/>
        <v/>
      </c>
      <c r="C150" s="496">
        <f>IF(D94="","-",+C149+1)</f>
        <v>2064</v>
      </c>
      <c r="D150" s="350">
        <f>IF(F149+SUM(E$100:E149)=D$93,F149,D$93-SUM(E$100:E149))</f>
        <v>0</v>
      </c>
      <c r="E150" s="510">
        <f t="shared" si="42"/>
        <v>0</v>
      </c>
      <c r="F150" s="511">
        <f t="shared" si="43"/>
        <v>0</v>
      </c>
      <c r="G150" s="511">
        <f t="shared" si="44"/>
        <v>0</v>
      </c>
      <c r="H150" s="645">
        <f t="shared" si="45"/>
        <v>0</v>
      </c>
      <c r="I150" s="573">
        <f t="shared" si="46"/>
        <v>0</v>
      </c>
      <c r="J150" s="505">
        <f t="shared" si="30"/>
        <v>0</v>
      </c>
      <c r="K150" s="505"/>
      <c r="L150" s="513"/>
      <c r="M150" s="505">
        <f t="shared" si="48"/>
        <v>0</v>
      </c>
      <c r="N150" s="513"/>
      <c r="O150" s="505">
        <f t="shared" si="49"/>
        <v>0</v>
      </c>
      <c r="P150" s="505">
        <f t="shared" si="50"/>
        <v>0</v>
      </c>
      <c r="Q150" s="244"/>
      <c r="R150" s="244"/>
      <c r="S150" s="244"/>
      <c r="T150" s="244"/>
      <c r="U150" s="244"/>
    </row>
    <row r="151" spans="2:21" ht="12.5">
      <c r="B151" s="145" t="str">
        <f t="shared" si="24"/>
        <v/>
      </c>
      <c r="C151" s="496">
        <f>IF(D94="","-",+C150+1)</f>
        <v>2065</v>
      </c>
      <c r="D151" s="350">
        <f>IF(F150+SUM(E$100:E150)=D$93,F150,D$93-SUM(E$100:E150))</f>
        <v>0</v>
      </c>
      <c r="E151" s="510">
        <f t="shared" si="42"/>
        <v>0</v>
      </c>
      <c r="F151" s="511">
        <f t="shared" si="43"/>
        <v>0</v>
      </c>
      <c r="G151" s="511">
        <f t="shared" si="44"/>
        <v>0</v>
      </c>
      <c r="H151" s="645">
        <f t="shared" si="45"/>
        <v>0</v>
      </c>
      <c r="I151" s="573">
        <f t="shared" si="46"/>
        <v>0</v>
      </c>
      <c r="J151" s="505">
        <f t="shared" si="30"/>
        <v>0</v>
      </c>
      <c r="K151" s="505"/>
      <c r="L151" s="513"/>
      <c r="M151" s="505">
        <f t="shared" si="48"/>
        <v>0</v>
      </c>
      <c r="N151" s="513"/>
      <c r="O151" s="505">
        <f t="shared" si="49"/>
        <v>0</v>
      </c>
      <c r="P151" s="505">
        <f t="shared" si="50"/>
        <v>0</v>
      </c>
      <c r="Q151" s="244"/>
      <c r="R151" s="244"/>
      <c r="S151" s="244"/>
      <c r="T151" s="244"/>
      <c r="U151" s="244"/>
    </row>
    <row r="152" spans="2:21" ht="12.5">
      <c r="B152" s="145" t="str">
        <f t="shared" si="24"/>
        <v/>
      </c>
      <c r="C152" s="496">
        <f>IF(D94="","-",+C151+1)</f>
        <v>2066</v>
      </c>
      <c r="D152" s="350">
        <f>IF(F151+SUM(E$100:E151)=D$93,F151,D$93-SUM(E$100:E151))</f>
        <v>0</v>
      </c>
      <c r="E152" s="510">
        <f t="shared" si="42"/>
        <v>0</v>
      </c>
      <c r="F152" s="511">
        <f t="shared" si="43"/>
        <v>0</v>
      </c>
      <c r="G152" s="511">
        <f t="shared" si="44"/>
        <v>0</v>
      </c>
      <c r="H152" s="645">
        <f t="shared" si="45"/>
        <v>0</v>
      </c>
      <c r="I152" s="573">
        <f t="shared" si="46"/>
        <v>0</v>
      </c>
      <c r="J152" s="505">
        <f t="shared" si="30"/>
        <v>0</v>
      </c>
      <c r="K152" s="505"/>
      <c r="L152" s="513"/>
      <c r="M152" s="505">
        <f t="shared" si="48"/>
        <v>0</v>
      </c>
      <c r="N152" s="513"/>
      <c r="O152" s="505">
        <f t="shared" si="49"/>
        <v>0</v>
      </c>
      <c r="P152" s="505">
        <f t="shared" si="50"/>
        <v>0</v>
      </c>
      <c r="Q152" s="244"/>
      <c r="R152" s="244"/>
      <c r="S152" s="244"/>
      <c r="T152" s="244"/>
      <c r="U152" s="244"/>
    </row>
    <row r="153" spans="2:21" ht="12.5">
      <c r="B153" s="145" t="str">
        <f t="shared" si="24"/>
        <v/>
      </c>
      <c r="C153" s="496">
        <f>IF(D94="","-",+C152+1)</f>
        <v>2067</v>
      </c>
      <c r="D153" s="350">
        <f>IF(F152+SUM(E$100:E152)=D$93,F152,D$93-SUM(E$100:E152))</f>
        <v>0</v>
      </c>
      <c r="E153" s="510">
        <f t="shared" si="42"/>
        <v>0</v>
      </c>
      <c r="F153" s="511">
        <f t="shared" si="43"/>
        <v>0</v>
      </c>
      <c r="G153" s="511">
        <f t="shared" si="44"/>
        <v>0</v>
      </c>
      <c r="H153" s="645">
        <f t="shared" si="45"/>
        <v>0</v>
      </c>
      <c r="I153" s="573">
        <f t="shared" si="46"/>
        <v>0</v>
      </c>
      <c r="J153" s="505">
        <f t="shared" si="30"/>
        <v>0</v>
      </c>
      <c r="K153" s="505"/>
      <c r="L153" s="513"/>
      <c r="M153" s="505">
        <f t="shared" si="48"/>
        <v>0</v>
      </c>
      <c r="N153" s="513"/>
      <c r="O153" s="505">
        <f t="shared" si="49"/>
        <v>0</v>
      </c>
      <c r="P153" s="505">
        <f t="shared" si="50"/>
        <v>0</v>
      </c>
      <c r="Q153" s="244"/>
      <c r="R153" s="244"/>
      <c r="S153" s="244"/>
      <c r="T153" s="244"/>
      <c r="U153" s="244"/>
    </row>
    <row r="154" spans="2:21" ht="12.5">
      <c r="B154" s="145" t="str">
        <f t="shared" si="24"/>
        <v/>
      </c>
      <c r="C154" s="496">
        <f>IF(D94="","-",+C153+1)</f>
        <v>2068</v>
      </c>
      <c r="D154" s="350">
        <f>IF(F153+SUM(E$100:E153)=D$93,F153,D$93-SUM(E$100:E153))</f>
        <v>0</v>
      </c>
      <c r="E154" s="510">
        <f t="shared" si="42"/>
        <v>0</v>
      </c>
      <c r="F154" s="511">
        <f t="shared" si="43"/>
        <v>0</v>
      </c>
      <c r="G154" s="511">
        <f t="shared" si="44"/>
        <v>0</v>
      </c>
      <c r="H154" s="645">
        <f t="shared" si="45"/>
        <v>0</v>
      </c>
      <c r="I154" s="573">
        <f t="shared" si="46"/>
        <v>0</v>
      </c>
      <c r="J154" s="505">
        <f t="shared" si="30"/>
        <v>0</v>
      </c>
      <c r="K154" s="505"/>
      <c r="L154" s="513"/>
      <c r="M154" s="505">
        <f t="shared" si="48"/>
        <v>0</v>
      </c>
      <c r="N154" s="513"/>
      <c r="O154" s="505">
        <f t="shared" si="49"/>
        <v>0</v>
      </c>
      <c r="P154" s="505">
        <f t="shared" si="50"/>
        <v>0</v>
      </c>
      <c r="Q154" s="244"/>
      <c r="R154" s="244"/>
      <c r="S154" s="244"/>
      <c r="T154" s="244"/>
      <c r="U154" s="244"/>
    </row>
    <row r="155" spans="2:21" ht="13" thickBot="1">
      <c r="B155" s="145" t="str">
        <f t="shared" si="24"/>
        <v/>
      </c>
      <c r="C155" s="525">
        <f>IF(D94="","-",+C154+1)</f>
        <v>2069</v>
      </c>
      <c r="D155" s="619">
        <f>IF(F154+SUM(E$100:E154)=D$93,F154,D$93-SUM(E$100:E154))</f>
        <v>0</v>
      </c>
      <c r="E155" s="527">
        <f t="shared" si="42"/>
        <v>0</v>
      </c>
      <c r="F155" s="528">
        <f t="shared" si="43"/>
        <v>0</v>
      </c>
      <c r="G155" s="528">
        <f t="shared" si="44"/>
        <v>0</v>
      </c>
      <c r="H155" s="645">
        <f t="shared" si="45"/>
        <v>0</v>
      </c>
      <c r="I155" s="574">
        <f t="shared" si="46"/>
        <v>0</v>
      </c>
      <c r="J155" s="532">
        <f t="shared" si="30"/>
        <v>0</v>
      </c>
      <c r="K155" s="505"/>
      <c r="L155" s="531"/>
      <c r="M155" s="532">
        <f t="shared" si="48"/>
        <v>0</v>
      </c>
      <c r="N155" s="531"/>
      <c r="O155" s="532">
        <f t="shared" si="49"/>
        <v>0</v>
      </c>
      <c r="P155" s="532">
        <f t="shared" si="50"/>
        <v>0</v>
      </c>
      <c r="Q155" s="244"/>
      <c r="R155" s="244"/>
      <c r="S155" s="244"/>
      <c r="T155" s="244"/>
      <c r="U155" s="244"/>
    </row>
    <row r="156" spans="2:21" ht="12.5">
      <c r="C156" s="350" t="s">
        <v>75</v>
      </c>
      <c r="D156" s="295"/>
      <c r="E156" s="295">
        <f>SUM(E100:E155)</f>
        <v>10218098.369999999</v>
      </c>
      <c r="F156" s="295"/>
      <c r="G156" s="295"/>
      <c r="H156" s="295">
        <f>SUM(H100:H155)</f>
        <v>24725124.131291244</v>
      </c>
      <c r="I156" s="295">
        <f>SUM(I100:I155)</f>
        <v>24725124.131291244</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47" priority="1" stopIfTrue="1" operator="equal">
      <formula>$I$10</formula>
    </cfRule>
  </conditionalFormatting>
  <conditionalFormatting sqref="C100:C155">
    <cfRule type="cellIs" dxfId="46"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0"/>
  <dimension ref="A1:U163"/>
  <sheetViews>
    <sheetView topLeftCell="A77" zoomScaleNormal="100" zoomScaleSheetLayoutView="78"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8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229461.48395077669</v>
      </c>
      <c r="P5" s="244"/>
      <c r="R5" s="244"/>
      <c r="S5" s="244"/>
      <c r="T5" s="244"/>
      <c r="U5" s="244"/>
    </row>
    <row r="6" spans="1:21" ht="15.5">
      <c r="C6" s="236"/>
      <c r="D6" s="293"/>
      <c r="E6" s="244"/>
      <c r="F6" s="244"/>
      <c r="G6" s="244"/>
      <c r="H6" s="450"/>
      <c r="I6" s="450"/>
      <c r="J6" s="451"/>
      <c r="K6" s="452" t="s">
        <v>243</v>
      </c>
      <c r="L6" s="453"/>
      <c r="M6" s="279"/>
      <c r="N6" s="454">
        <f>VLOOKUP(I10,C17:I73,6)</f>
        <v>229461.48395077669</v>
      </c>
      <c r="O6" s="244"/>
      <c r="P6" s="244"/>
      <c r="R6" s="244"/>
      <c r="S6" s="244"/>
      <c r="T6" s="244"/>
      <c r="U6" s="244"/>
    </row>
    <row r="7" spans="1:21" ht="13.5" thickBot="1">
      <c r="C7" s="455" t="s">
        <v>46</v>
      </c>
      <c r="D7" s="456" t="s">
        <v>215</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260</v>
      </c>
      <c r="E9" s="466"/>
      <c r="F9" s="466"/>
      <c r="G9" s="466"/>
      <c r="H9" s="466"/>
      <c r="I9" s="467"/>
      <c r="J9" s="468"/>
      <c r="O9" s="469"/>
      <c r="P9" s="279"/>
      <c r="R9" s="244"/>
      <c r="S9" s="244"/>
      <c r="T9" s="244"/>
      <c r="U9" s="244"/>
    </row>
    <row r="10" spans="1:21" ht="13">
      <c r="C10" s="470" t="s">
        <v>49</v>
      </c>
      <c r="D10" s="471">
        <v>1864625</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0.11475877389767174</v>
      </c>
      <c r="J12" s="414"/>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56503.78787878788</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2014</v>
      </c>
      <c r="D17" s="497">
        <v>669000</v>
      </c>
      <c r="E17" s="498">
        <v>5786.5857813386465</v>
      </c>
      <c r="F17" s="497">
        <v>663213.41421866138</v>
      </c>
      <c r="G17" s="498">
        <v>48353.352128136466</v>
      </c>
      <c r="H17" s="500">
        <v>48353.352128136466</v>
      </c>
      <c r="I17" s="501">
        <v>0</v>
      </c>
      <c r="J17" s="501"/>
      <c r="K17" s="502">
        <f t="shared" ref="K17:K22" si="1">G17</f>
        <v>48353.352128136466</v>
      </c>
      <c r="L17" s="503">
        <f t="shared" ref="L17:L22" si="2">IF(K17&lt;&gt;0,+G17-K17,0)</f>
        <v>0</v>
      </c>
      <c r="M17" s="502">
        <f t="shared" ref="M17:M22" si="3">H17</f>
        <v>48353.352128136466</v>
      </c>
      <c r="N17" s="504">
        <f>IF(M17&lt;&gt;0,+H17-M17,0)</f>
        <v>0</v>
      </c>
      <c r="O17" s="505">
        <f>+N17-L17</f>
        <v>0</v>
      </c>
      <c r="P17" s="279"/>
      <c r="R17" s="244"/>
      <c r="S17" s="244"/>
      <c r="T17" s="244"/>
      <c r="U17" s="244"/>
    </row>
    <row r="18" spans="2:21" ht="12.5">
      <c r="B18" s="145" t="str">
        <f t="shared" si="0"/>
        <v/>
      </c>
      <c r="C18" s="496">
        <f>IF(D11="","-",+C17+1)</f>
        <v>2015</v>
      </c>
      <c r="D18" s="615">
        <v>663213.41421866138</v>
      </c>
      <c r="E18" s="614">
        <v>32256.539821806971</v>
      </c>
      <c r="F18" s="615">
        <v>630956.87439685443</v>
      </c>
      <c r="G18" s="614">
        <v>97286.386538537452</v>
      </c>
      <c r="H18" s="618">
        <v>97286.386538537452</v>
      </c>
      <c r="I18" s="501">
        <v>0</v>
      </c>
      <c r="J18" s="501"/>
      <c r="K18" s="507">
        <f t="shared" si="1"/>
        <v>97286.386538537452</v>
      </c>
      <c r="L18" s="508">
        <f t="shared" si="2"/>
        <v>0</v>
      </c>
      <c r="M18" s="507">
        <f t="shared" si="3"/>
        <v>97286.386538537452</v>
      </c>
      <c r="N18" s="505">
        <f>IF(M18&lt;&gt;0,+H18-M18,0)</f>
        <v>0</v>
      </c>
      <c r="O18" s="505">
        <f>+N18-L18</f>
        <v>0</v>
      </c>
      <c r="P18" s="279"/>
      <c r="R18" s="244"/>
      <c r="S18" s="244"/>
      <c r="T18" s="244"/>
      <c r="U18" s="244"/>
    </row>
    <row r="19" spans="2:21" ht="12.5">
      <c r="B19" s="145" t="str">
        <f t="shared" si="0"/>
        <v>IU</v>
      </c>
      <c r="C19" s="496">
        <f>IF(D11="","-",+C18+1)</f>
        <v>2016</v>
      </c>
      <c r="D19" s="615">
        <v>1826581.8843968543</v>
      </c>
      <c r="E19" s="614">
        <v>38745.889906300305</v>
      </c>
      <c r="F19" s="615">
        <v>1787835.9944905541</v>
      </c>
      <c r="G19" s="614">
        <v>231618.29862330039</v>
      </c>
      <c r="H19" s="618">
        <v>231618.29862330039</v>
      </c>
      <c r="I19" s="501">
        <f>H19-G19</f>
        <v>0</v>
      </c>
      <c r="J19" s="501"/>
      <c r="K19" s="507">
        <f t="shared" si="1"/>
        <v>231618.29862330039</v>
      </c>
      <c r="L19" s="508">
        <f t="shared" si="2"/>
        <v>0</v>
      </c>
      <c r="M19" s="507">
        <f t="shared" si="3"/>
        <v>231618.29862330039</v>
      </c>
      <c r="N19" s="505">
        <f t="shared" ref="N19:N73" si="4">IF(M19&lt;&gt;0,+H19-M19,0)</f>
        <v>0</v>
      </c>
      <c r="O19" s="505">
        <f t="shared" ref="O19:O73" si="5">+N19-L19</f>
        <v>0</v>
      </c>
      <c r="P19" s="279"/>
      <c r="R19" s="244"/>
      <c r="S19" s="244"/>
      <c r="T19" s="244"/>
      <c r="U19" s="244"/>
    </row>
    <row r="20" spans="2:21" ht="12.5">
      <c r="B20" s="145" t="str">
        <f t="shared" si="0"/>
        <v/>
      </c>
      <c r="C20" s="496">
        <f>IF(D11="","-",+C19+1)</f>
        <v>2017</v>
      </c>
      <c r="D20" s="615">
        <v>1787835.9944905541</v>
      </c>
      <c r="E20" s="614">
        <v>36662.21925080863</v>
      </c>
      <c r="F20" s="615">
        <v>1751173.7752397454</v>
      </c>
      <c r="G20" s="614">
        <v>231201.53737593384</v>
      </c>
      <c r="H20" s="618">
        <v>231201.53737593384</v>
      </c>
      <c r="I20" s="501">
        <f t="shared" ref="I20:I73" si="6">H20-G20</f>
        <v>0</v>
      </c>
      <c r="J20" s="501"/>
      <c r="K20" s="507">
        <f t="shared" si="1"/>
        <v>231201.53737593384</v>
      </c>
      <c r="L20" s="508">
        <f t="shared" si="2"/>
        <v>0</v>
      </c>
      <c r="M20" s="507">
        <f t="shared" si="3"/>
        <v>231201.53737593384</v>
      </c>
      <c r="N20" s="505">
        <f>IF(M20&lt;&gt;0,+H20-M20,0)</f>
        <v>0</v>
      </c>
      <c r="O20" s="505">
        <f>+N20-L20</f>
        <v>0</v>
      </c>
      <c r="P20" s="279"/>
      <c r="R20" s="244"/>
      <c r="S20" s="244"/>
      <c r="T20" s="244"/>
      <c r="U20" s="244"/>
    </row>
    <row r="21" spans="2:21" ht="12.5">
      <c r="B21" s="145" t="str">
        <f t="shared" si="0"/>
        <v/>
      </c>
      <c r="C21" s="496">
        <f>IF(D11="","-",+C20+1)</f>
        <v>2018</v>
      </c>
      <c r="D21" s="615">
        <v>1751173.7752397454</v>
      </c>
      <c r="E21" s="614">
        <v>45729.148838219895</v>
      </c>
      <c r="F21" s="615">
        <v>1705444.6264015255</v>
      </c>
      <c r="G21" s="614">
        <v>221366.23750408986</v>
      </c>
      <c r="H21" s="618">
        <v>221366.23750408986</v>
      </c>
      <c r="I21" s="501">
        <v>0</v>
      </c>
      <c r="J21" s="501"/>
      <c r="K21" s="507">
        <f t="shared" si="1"/>
        <v>221366.23750408986</v>
      </c>
      <c r="L21" s="508">
        <f t="shared" si="2"/>
        <v>0</v>
      </c>
      <c r="M21" s="507">
        <f t="shared" si="3"/>
        <v>221366.23750408986</v>
      </c>
      <c r="N21" s="505">
        <f>IF(M21&lt;&gt;0,+H21-M21,0)</f>
        <v>0</v>
      </c>
      <c r="O21" s="505">
        <f>+N21-L21</f>
        <v>0</v>
      </c>
      <c r="P21" s="279"/>
      <c r="R21" s="244"/>
      <c r="S21" s="244"/>
      <c r="T21" s="244"/>
      <c r="U21" s="244"/>
    </row>
    <row r="22" spans="2:21" ht="12.5">
      <c r="B22" s="145" t="str">
        <f t="shared" si="0"/>
        <v/>
      </c>
      <c r="C22" s="496">
        <f>IF(D11="","-",+C21+1)</f>
        <v>2019</v>
      </c>
      <c r="D22" s="615">
        <v>1705444.6264015255</v>
      </c>
      <c r="E22" s="614">
        <v>55302.6277388339</v>
      </c>
      <c r="F22" s="615">
        <v>1650141.9986626916</v>
      </c>
      <c r="G22" s="614">
        <v>229685.69393356299</v>
      </c>
      <c r="H22" s="618">
        <v>229685.69393356299</v>
      </c>
      <c r="I22" s="501">
        <f t="shared" si="6"/>
        <v>0</v>
      </c>
      <c r="J22" s="501"/>
      <c r="K22" s="507">
        <f t="shared" si="1"/>
        <v>229685.69393356299</v>
      </c>
      <c r="L22" s="508">
        <f t="shared" si="2"/>
        <v>0</v>
      </c>
      <c r="M22" s="507">
        <f t="shared" si="3"/>
        <v>229685.69393356299</v>
      </c>
      <c r="N22" s="505">
        <f>IF(M22&lt;&gt;0,+H22-M22,0)</f>
        <v>0</v>
      </c>
      <c r="O22" s="505">
        <f>+N22-L22</f>
        <v>0</v>
      </c>
      <c r="P22" s="279"/>
      <c r="R22" s="244"/>
      <c r="S22" s="244"/>
      <c r="T22" s="244"/>
      <c r="U22" s="244"/>
    </row>
    <row r="23" spans="2:21" ht="12.5">
      <c r="B23" s="145" t="str">
        <f t="shared" si="0"/>
        <v>IU</v>
      </c>
      <c r="C23" s="496">
        <f>IF(D11="","-",+C22+1)</f>
        <v>2020</v>
      </c>
      <c r="D23" s="615">
        <v>1659715.4775633055</v>
      </c>
      <c r="E23" s="614">
        <v>54599.54020149546</v>
      </c>
      <c r="F23" s="615">
        <v>1605115.9373618101</v>
      </c>
      <c r="G23" s="614">
        <v>225892.94644088054</v>
      </c>
      <c r="H23" s="618">
        <v>225892.94644088054</v>
      </c>
      <c r="I23" s="501">
        <f t="shared" si="6"/>
        <v>0</v>
      </c>
      <c r="J23" s="501"/>
      <c r="K23" s="507">
        <f t="shared" ref="K23" si="7">G23</f>
        <v>225892.94644088054</v>
      </c>
      <c r="L23" s="508">
        <f t="shared" ref="L23" si="8">IF(K23&lt;&gt;0,+G23-K23,0)</f>
        <v>0</v>
      </c>
      <c r="M23" s="507">
        <f t="shared" ref="M23" si="9">H23</f>
        <v>225892.94644088054</v>
      </c>
      <c r="N23" s="505">
        <f t="shared" si="4"/>
        <v>0</v>
      </c>
      <c r="O23" s="505">
        <f t="shared" si="5"/>
        <v>0</v>
      </c>
      <c r="P23" s="279"/>
      <c r="R23" s="244"/>
      <c r="S23" s="244"/>
      <c r="T23" s="244"/>
      <c r="U23" s="244"/>
    </row>
    <row r="24" spans="2:21" ht="12.5">
      <c r="B24" s="145" t="str">
        <f t="shared" si="0"/>
        <v>IU</v>
      </c>
      <c r="C24" s="496">
        <f>IF(D11="","-",+C23+1)</f>
        <v>2021</v>
      </c>
      <c r="D24" s="615">
        <v>1595542.4584611962</v>
      </c>
      <c r="E24" s="614">
        <v>60149.193870967742</v>
      </c>
      <c r="F24" s="615">
        <v>1535393.2645902284</v>
      </c>
      <c r="G24" s="614">
        <v>229509.43964714528</v>
      </c>
      <c r="H24" s="618">
        <v>229509.43964714528</v>
      </c>
      <c r="I24" s="501">
        <f t="shared" si="6"/>
        <v>0</v>
      </c>
      <c r="J24" s="501"/>
      <c r="K24" s="507">
        <f t="shared" ref="K24" si="10">G24</f>
        <v>229509.43964714528</v>
      </c>
      <c r="L24" s="508">
        <f t="shared" ref="L24" si="11">IF(K24&lt;&gt;0,+G24-K24,0)</f>
        <v>0</v>
      </c>
      <c r="M24" s="507">
        <f t="shared" ref="M24" si="12">H24</f>
        <v>229509.43964714528</v>
      </c>
      <c r="N24" s="505">
        <f t="shared" si="4"/>
        <v>0</v>
      </c>
      <c r="O24" s="505">
        <f t="shared" si="5"/>
        <v>0</v>
      </c>
      <c r="P24" s="279"/>
      <c r="R24" s="244"/>
      <c r="S24" s="244"/>
      <c r="T24" s="244"/>
      <c r="U24" s="244"/>
    </row>
    <row r="25" spans="2:21" ht="12.5">
      <c r="B25" s="145" t="str">
        <f t="shared" si="0"/>
        <v/>
      </c>
      <c r="C25" s="496">
        <f>IF(D11="","-",+C24+1)</f>
        <v>2022</v>
      </c>
      <c r="D25" s="615">
        <v>1535393.2645902284</v>
      </c>
      <c r="E25" s="614">
        <v>56503.788181818185</v>
      </c>
      <c r="F25" s="615">
        <v>1478889.4764084104</v>
      </c>
      <c r="G25" s="614">
        <v>229461.48395077669</v>
      </c>
      <c r="H25" s="618">
        <v>229461.48395077669</v>
      </c>
      <c r="I25" s="501">
        <f t="shared" si="6"/>
        <v>0</v>
      </c>
      <c r="J25" s="501"/>
      <c r="K25" s="507">
        <f t="shared" ref="K25" si="13">G25</f>
        <v>229461.48395077669</v>
      </c>
      <c r="L25" s="508">
        <f t="shared" ref="L25" si="14">IF(K25&lt;&gt;0,+G25-K25,0)</f>
        <v>0</v>
      </c>
      <c r="M25" s="507">
        <f t="shared" ref="M25" si="15">H25</f>
        <v>229461.48395077669</v>
      </c>
      <c r="N25" s="505">
        <f t="shared" si="4"/>
        <v>0</v>
      </c>
      <c r="O25" s="505">
        <f t="shared" si="5"/>
        <v>0</v>
      </c>
      <c r="P25" s="279"/>
      <c r="R25" s="244"/>
      <c r="S25" s="244"/>
      <c r="T25" s="244"/>
      <c r="U25" s="244"/>
    </row>
    <row r="26" spans="2:21" ht="12.5">
      <c r="B26" s="145" t="str">
        <f t="shared" si="0"/>
        <v>IU</v>
      </c>
      <c r="C26" s="496">
        <f>IF(D11="","-",+C25+1)</f>
        <v>2023</v>
      </c>
      <c r="D26" s="615">
        <v>1478889.4664084103</v>
      </c>
      <c r="E26" s="614">
        <v>60149.193548387098</v>
      </c>
      <c r="F26" s="615">
        <v>1418740.2728600232</v>
      </c>
      <c r="G26" s="614">
        <v>223912.8746819201</v>
      </c>
      <c r="H26" s="618">
        <v>223912.8746819201</v>
      </c>
      <c r="I26" s="501">
        <f t="shared" si="6"/>
        <v>0</v>
      </c>
      <c r="J26" s="501"/>
      <c r="K26" s="507">
        <f t="shared" ref="K26" si="16">G26</f>
        <v>223912.8746819201</v>
      </c>
      <c r="L26" s="508">
        <f t="shared" ref="L26" si="17">IF(K26&lt;&gt;0,+G26-K26,0)</f>
        <v>0</v>
      </c>
      <c r="M26" s="507">
        <f t="shared" ref="M26" si="18">H26</f>
        <v>223912.8746819201</v>
      </c>
      <c r="N26" s="505">
        <f t="shared" si="4"/>
        <v>0</v>
      </c>
      <c r="O26" s="505">
        <f t="shared" si="5"/>
        <v>0</v>
      </c>
      <c r="P26" s="279"/>
      <c r="R26" s="244"/>
      <c r="S26" s="244"/>
      <c r="T26" s="244"/>
      <c r="U26" s="244"/>
    </row>
    <row r="27" spans="2:21" ht="12.5">
      <c r="B27" s="145" t="str">
        <f t="shared" si="0"/>
        <v/>
      </c>
      <c r="C27" s="496">
        <f>IF(D11="","-",+C26+1)</f>
        <v>2024</v>
      </c>
      <c r="D27" s="509">
        <f>IF(F26+SUM(E$17:E26)=D$10,F26,D$10-SUM(E$17:E26))</f>
        <v>1418740.2728600232</v>
      </c>
      <c r="E27" s="510">
        <f t="shared" ref="E27:E73" si="19">IF(+$I$14&lt;F26,$I$14,D27)</f>
        <v>56503.78787878788</v>
      </c>
      <c r="F27" s="511">
        <f t="shared" ref="F27:F73" si="20">+D27-E27</f>
        <v>1362236.4849812353</v>
      </c>
      <c r="G27" s="512">
        <f t="shared" ref="G27:G73" si="21">(D27+F27)/2*I$12+E27</f>
        <v>216074.52936268045</v>
      </c>
      <c r="H27" s="478">
        <f t="shared" ref="H27:H73" si="22">+(D27+F27)/2*I$13+E27</f>
        <v>216074.52936268045</v>
      </c>
      <c r="I27" s="501">
        <f t="shared" si="6"/>
        <v>0</v>
      </c>
      <c r="J27" s="501"/>
      <c r="K27" s="513"/>
      <c r="L27" s="505">
        <f t="shared" ref="L27:L73" si="23">IF(K27&lt;&gt;0,+G27-K27,0)</f>
        <v>0</v>
      </c>
      <c r="M27" s="513"/>
      <c r="N27" s="505">
        <f t="shared" si="4"/>
        <v>0</v>
      </c>
      <c r="O27" s="505">
        <f t="shared" si="5"/>
        <v>0</v>
      </c>
      <c r="P27" s="279"/>
      <c r="R27" s="244"/>
      <c r="S27" s="244"/>
      <c r="T27" s="244"/>
      <c r="U27" s="244"/>
    </row>
    <row r="28" spans="2:21" ht="12.5">
      <c r="B28" s="145" t="str">
        <f t="shared" si="0"/>
        <v/>
      </c>
      <c r="C28" s="496">
        <f>IF(D11="","-",+C27+1)</f>
        <v>2025</v>
      </c>
      <c r="D28" s="509">
        <f>IF(F27+SUM(E$17:E27)=D$10,F27,D$10-SUM(E$17:E27))</f>
        <v>1362236.4849812353</v>
      </c>
      <c r="E28" s="510">
        <f t="shared" si="19"/>
        <v>56503.78787878788</v>
      </c>
      <c r="F28" s="511">
        <f t="shared" si="20"/>
        <v>1305732.6971024475</v>
      </c>
      <c r="G28" s="512">
        <f t="shared" si="21"/>
        <v>209590.22394513668</v>
      </c>
      <c r="H28" s="478">
        <f t="shared" si="22"/>
        <v>209590.22394513668</v>
      </c>
      <c r="I28" s="501">
        <f t="shared" si="6"/>
        <v>0</v>
      </c>
      <c r="J28" s="501"/>
      <c r="K28" s="513"/>
      <c r="L28" s="505">
        <f t="shared" si="23"/>
        <v>0</v>
      </c>
      <c r="M28" s="513"/>
      <c r="N28" s="505">
        <f t="shared" si="4"/>
        <v>0</v>
      </c>
      <c r="O28" s="505">
        <f t="shared" si="5"/>
        <v>0</v>
      </c>
      <c r="P28" s="279"/>
      <c r="R28" s="244"/>
      <c r="S28" s="244"/>
      <c r="T28" s="244"/>
      <c r="U28" s="244"/>
    </row>
    <row r="29" spans="2:21" ht="12.5">
      <c r="B29" s="145" t="str">
        <f t="shared" si="0"/>
        <v/>
      </c>
      <c r="C29" s="496">
        <f>IF(D11="","-",+C28+1)</f>
        <v>2026</v>
      </c>
      <c r="D29" s="509">
        <f>IF(F28+SUM(E$17:E28)=D$10,F28,D$10-SUM(E$17:E28))</f>
        <v>1305732.6971024475</v>
      </c>
      <c r="E29" s="510">
        <f t="shared" si="19"/>
        <v>56503.78787878788</v>
      </c>
      <c r="F29" s="511">
        <f t="shared" si="20"/>
        <v>1249228.9092236597</v>
      </c>
      <c r="G29" s="512">
        <f t="shared" si="21"/>
        <v>203105.91852759282</v>
      </c>
      <c r="H29" s="478">
        <f t="shared" si="22"/>
        <v>203105.91852759282</v>
      </c>
      <c r="I29" s="501">
        <f t="shared" si="6"/>
        <v>0</v>
      </c>
      <c r="J29" s="501"/>
      <c r="K29" s="513"/>
      <c r="L29" s="505">
        <f t="shared" si="23"/>
        <v>0</v>
      </c>
      <c r="M29" s="513"/>
      <c r="N29" s="505">
        <f t="shared" si="4"/>
        <v>0</v>
      </c>
      <c r="O29" s="505">
        <f t="shared" si="5"/>
        <v>0</v>
      </c>
      <c r="P29" s="279"/>
      <c r="R29" s="244"/>
      <c r="S29" s="244"/>
      <c r="T29" s="244"/>
      <c r="U29" s="244"/>
    </row>
    <row r="30" spans="2:21" ht="12.5">
      <c r="B30" s="145" t="str">
        <f t="shared" si="0"/>
        <v/>
      </c>
      <c r="C30" s="496">
        <f>IF(D11="","-",+C29+1)</f>
        <v>2027</v>
      </c>
      <c r="D30" s="509">
        <f>IF(F29+SUM(E$17:E29)=D$10,F29,D$10-SUM(E$17:E29))</f>
        <v>1249228.9092236597</v>
      </c>
      <c r="E30" s="510">
        <f t="shared" si="19"/>
        <v>56503.78787878788</v>
      </c>
      <c r="F30" s="511">
        <f t="shared" si="20"/>
        <v>1192725.1213448718</v>
      </c>
      <c r="G30" s="512">
        <f t="shared" si="21"/>
        <v>196621.61311004902</v>
      </c>
      <c r="H30" s="478">
        <f t="shared" si="22"/>
        <v>196621.61311004902</v>
      </c>
      <c r="I30" s="501">
        <f t="shared" si="6"/>
        <v>0</v>
      </c>
      <c r="J30" s="501"/>
      <c r="K30" s="513"/>
      <c r="L30" s="505">
        <f t="shared" si="23"/>
        <v>0</v>
      </c>
      <c r="M30" s="513"/>
      <c r="N30" s="505">
        <f t="shared" si="4"/>
        <v>0</v>
      </c>
      <c r="O30" s="505">
        <f t="shared" si="5"/>
        <v>0</v>
      </c>
      <c r="P30" s="279"/>
      <c r="R30" s="244"/>
      <c r="S30" s="244"/>
      <c r="T30" s="244"/>
      <c r="U30" s="244"/>
    </row>
    <row r="31" spans="2:21" ht="12.5">
      <c r="B31" s="145" t="str">
        <f t="shared" si="0"/>
        <v/>
      </c>
      <c r="C31" s="496">
        <f>IF(D11="","-",+C30+1)</f>
        <v>2028</v>
      </c>
      <c r="D31" s="509">
        <f>IF(F30+SUM(E$17:E30)=D$10,F30,D$10-SUM(E$17:E30))</f>
        <v>1192725.1213448718</v>
      </c>
      <c r="E31" s="510">
        <f t="shared" si="19"/>
        <v>56503.78787878788</v>
      </c>
      <c r="F31" s="511">
        <f t="shared" si="20"/>
        <v>1136221.333466084</v>
      </c>
      <c r="G31" s="512">
        <f t="shared" si="21"/>
        <v>190137.30769250519</v>
      </c>
      <c r="H31" s="478">
        <f t="shared" si="22"/>
        <v>190137.30769250519</v>
      </c>
      <c r="I31" s="501">
        <f t="shared" si="6"/>
        <v>0</v>
      </c>
      <c r="J31" s="501"/>
      <c r="K31" s="513"/>
      <c r="L31" s="505">
        <f t="shared" si="23"/>
        <v>0</v>
      </c>
      <c r="M31" s="513"/>
      <c r="N31" s="505">
        <f t="shared" si="4"/>
        <v>0</v>
      </c>
      <c r="O31" s="505">
        <f t="shared" si="5"/>
        <v>0</v>
      </c>
      <c r="P31" s="279"/>
      <c r="Q31" s="221"/>
      <c r="R31" s="279"/>
      <c r="S31" s="279"/>
      <c r="T31" s="279"/>
      <c r="U31" s="244"/>
    </row>
    <row r="32" spans="2:21" ht="12.5">
      <c r="B32" s="145" t="str">
        <f t="shared" si="0"/>
        <v/>
      </c>
      <c r="C32" s="496">
        <f>IF(D12="","-",+C31+1)</f>
        <v>2029</v>
      </c>
      <c r="D32" s="509">
        <f>IF(F31+SUM(E$17:E31)=D$10,F31,D$10-SUM(E$17:E31))</f>
        <v>1136221.333466084</v>
      </c>
      <c r="E32" s="510">
        <f>IF(+$I$14&lt;F31,$I$14,D32)</f>
        <v>56503.78787878788</v>
      </c>
      <c r="F32" s="511">
        <f>+D32-E32</f>
        <v>1079717.5455872961</v>
      </c>
      <c r="G32" s="512">
        <f t="shared" si="21"/>
        <v>183653.00227496139</v>
      </c>
      <c r="H32" s="478">
        <f t="shared" si="22"/>
        <v>183653.00227496139</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2030</v>
      </c>
      <c r="D33" s="509">
        <f>IF(F32+SUM(E$17:E32)=D$10,F32,D$10-SUM(E$17:E32))</f>
        <v>1079717.5455872961</v>
      </c>
      <c r="E33" s="510">
        <f>IF(+$I$14&lt;F32,$I$14,D33)</f>
        <v>56503.78787878788</v>
      </c>
      <c r="F33" s="511">
        <f>+D33-E33</f>
        <v>1023213.7577085083</v>
      </c>
      <c r="G33" s="512">
        <f t="shared" si="21"/>
        <v>177168.69685741756</v>
      </c>
      <c r="H33" s="478">
        <f t="shared" si="22"/>
        <v>177168.69685741756</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2031</v>
      </c>
      <c r="D34" s="515">
        <f>IF(F33+SUM(E$17:E33)=D$10,F33,D$10-SUM(E$17:E33))</f>
        <v>1023213.7577085083</v>
      </c>
      <c r="E34" s="516">
        <f t="shared" si="19"/>
        <v>56503.78787878788</v>
      </c>
      <c r="F34" s="517">
        <f t="shared" si="20"/>
        <v>966709.96982972044</v>
      </c>
      <c r="G34" s="518">
        <f t="shared" si="21"/>
        <v>170684.39143987375</v>
      </c>
      <c r="H34" s="519">
        <f t="shared" si="22"/>
        <v>170684.39143987375</v>
      </c>
      <c r="I34" s="520">
        <f t="shared" si="6"/>
        <v>0</v>
      </c>
      <c r="J34" s="520"/>
      <c r="K34" s="521"/>
      <c r="L34" s="522">
        <f t="shared" si="23"/>
        <v>0</v>
      </c>
      <c r="M34" s="521"/>
      <c r="N34" s="522">
        <f t="shared" si="4"/>
        <v>0</v>
      </c>
      <c r="O34" s="522">
        <f t="shared" si="5"/>
        <v>0</v>
      </c>
      <c r="P34" s="523"/>
      <c r="Q34" s="217"/>
      <c r="R34" s="523"/>
      <c r="S34" s="523"/>
      <c r="T34" s="523"/>
      <c r="U34" s="244"/>
    </row>
    <row r="35" spans="2:21" ht="12.5">
      <c r="B35" s="145" t="str">
        <f t="shared" si="0"/>
        <v/>
      </c>
      <c r="C35" s="496">
        <f>IF(D11="","-",+C34+1)</f>
        <v>2032</v>
      </c>
      <c r="D35" s="509">
        <f>IF(F34+SUM(E$17:E34)=D$10,F34,D$10-SUM(E$17:E34))</f>
        <v>966709.96982972044</v>
      </c>
      <c r="E35" s="510">
        <f t="shared" si="19"/>
        <v>56503.78787878788</v>
      </c>
      <c r="F35" s="511">
        <f t="shared" si="20"/>
        <v>910206.1819509326</v>
      </c>
      <c r="G35" s="512">
        <f t="shared" si="21"/>
        <v>164200.08602232992</v>
      </c>
      <c r="H35" s="478">
        <f t="shared" si="22"/>
        <v>164200.08602232992</v>
      </c>
      <c r="I35" s="501">
        <f t="shared" si="6"/>
        <v>0</v>
      </c>
      <c r="J35" s="501"/>
      <c r="K35" s="513"/>
      <c r="L35" s="505">
        <f t="shared" si="23"/>
        <v>0</v>
      </c>
      <c r="M35" s="513"/>
      <c r="N35" s="505">
        <f t="shared" si="4"/>
        <v>0</v>
      </c>
      <c r="O35" s="505">
        <f t="shared" si="5"/>
        <v>0</v>
      </c>
      <c r="P35" s="279"/>
      <c r="R35" s="244"/>
      <c r="S35" s="244"/>
      <c r="T35" s="244"/>
      <c r="U35" s="244"/>
    </row>
    <row r="36" spans="2:21" ht="12.5">
      <c r="B36" s="145" t="str">
        <f t="shared" si="0"/>
        <v/>
      </c>
      <c r="C36" s="496">
        <f>IF(D11="","-",+C35+1)</f>
        <v>2033</v>
      </c>
      <c r="D36" s="509">
        <f>IF(F35+SUM(E$17:E35)=D$10,F35,D$10-SUM(E$17:E35))</f>
        <v>910206.1819509326</v>
      </c>
      <c r="E36" s="510">
        <f t="shared" si="19"/>
        <v>56503.78787878788</v>
      </c>
      <c r="F36" s="511">
        <f t="shared" si="20"/>
        <v>853702.39407214476</v>
      </c>
      <c r="G36" s="512">
        <f t="shared" si="21"/>
        <v>157715.78060478609</v>
      </c>
      <c r="H36" s="478">
        <f t="shared" si="22"/>
        <v>157715.78060478609</v>
      </c>
      <c r="I36" s="501">
        <f t="shared" si="6"/>
        <v>0</v>
      </c>
      <c r="J36" s="501"/>
      <c r="K36" s="513"/>
      <c r="L36" s="505">
        <f t="shared" si="23"/>
        <v>0</v>
      </c>
      <c r="M36" s="513"/>
      <c r="N36" s="505">
        <f t="shared" si="4"/>
        <v>0</v>
      </c>
      <c r="O36" s="505">
        <f t="shared" si="5"/>
        <v>0</v>
      </c>
      <c r="P36" s="279"/>
      <c r="R36" s="244"/>
      <c r="S36" s="244"/>
      <c r="T36" s="244"/>
      <c r="U36" s="244"/>
    </row>
    <row r="37" spans="2:21" ht="12.5">
      <c r="B37" s="145" t="str">
        <f t="shared" si="0"/>
        <v/>
      </c>
      <c r="C37" s="496">
        <f>IF(D11="","-",+C36+1)</f>
        <v>2034</v>
      </c>
      <c r="D37" s="509">
        <f>IF(F36+SUM(E$17:E36)=D$10,F36,D$10-SUM(E$17:E36))</f>
        <v>853702.39407214476</v>
      </c>
      <c r="E37" s="510">
        <f t="shared" si="19"/>
        <v>56503.78787878788</v>
      </c>
      <c r="F37" s="511">
        <f t="shared" si="20"/>
        <v>797198.60619335691</v>
      </c>
      <c r="G37" s="512">
        <f t="shared" si="21"/>
        <v>151231.47518724229</v>
      </c>
      <c r="H37" s="478">
        <f t="shared" si="22"/>
        <v>151231.47518724229</v>
      </c>
      <c r="I37" s="501">
        <f t="shared" si="6"/>
        <v>0</v>
      </c>
      <c r="J37" s="501"/>
      <c r="K37" s="513"/>
      <c r="L37" s="505">
        <f t="shared" si="23"/>
        <v>0</v>
      </c>
      <c r="M37" s="513"/>
      <c r="N37" s="505">
        <f t="shared" si="4"/>
        <v>0</v>
      </c>
      <c r="O37" s="505">
        <f t="shared" si="5"/>
        <v>0</v>
      </c>
      <c r="P37" s="279"/>
      <c r="R37" s="244"/>
      <c r="S37" s="244"/>
      <c r="T37" s="244"/>
      <c r="U37" s="244"/>
    </row>
    <row r="38" spans="2:21" ht="12.5">
      <c r="B38" s="145" t="str">
        <f t="shared" si="0"/>
        <v/>
      </c>
      <c r="C38" s="496">
        <f>IF(D11="","-",+C37+1)</f>
        <v>2035</v>
      </c>
      <c r="D38" s="509">
        <f>IF(F37+SUM(E$17:E37)=D$10,F37,D$10-SUM(E$17:E37))</f>
        <v>797198.60619335691</v>
      </c>
      <c r="E38" s="510">
        <f t="shared" si="19"/>
        <v>56503.78787878788</v>
      </c>
      <c r="F38" s="511">
        <f t="shared" si="20"/>
        <v>740694.81831456907</v>
      </c>
      <c r="G38" s="512">
        <f t="shared" si="21"/>
        <v>144747.16976969846</v>
      </c>
      <c r="H38" s="478">
        <f t="shared" si="22"/>
        <v>144747.16976969846</v>
      </c>
      <c r="I38" s="501">
        <f t="shared" si="6"/>
        <v>0</v>
      </c>
      <c r="J38" s="501"/>
      <c r="K38" s="513"/>
      <c r="L38" s="505">
        <f t="shared" si="23"/>
        <v>0</v>
      </c>
      <c r="M38" s="513"/>
      <c r="N38" s="505">
        <f t="shared" si="4"/>
        <v>0</v>
      </c>
      <c r="O38" s="505">
        <f t="shared" si="5"/>
        <v>0</v>
      </c>
      <c r="P38" s="279"/>
      <c r="R38" s="244"/>
      <c r="S38" s="244"/>
      <c r="T38" s="244"/>
      <c r="U38" s="244"/>
    </row>
    <row r="39" spans="2:21" ht="12.5">
      <c r="B39" s="145" t="str">
        <f t="shared" si="0"/>
        <v/>
      </c>
      <c r="C39" s="496">
        <f>IF(D11="","-",+C38+1)</f>
        <v>2036</v>
      </c>
      <c r="D39" s="509">
        <f>IF(F38+SUM(E$17:E38)=D$10,F38,D$10-SUM(E$17:E38))</f>
        <v>740694.81831456907</v>
      </c>
      <c r="E39" s="510">
        <f t="shared" si="19"/>
        <v>56503.78787878788</v>
      </c>
      <c r="F39" s="511">
        <f t="shared" si="20"/>
        <v>684191.03043578123</v>
      </c>
      <c r="G39" s="512">
        <f t="shared" si="21"/>
        <v>138262.86435215466</v>
      </c>
      <c r="H39" s="478">
        <f t="shared" si="22"/>
        <v>138262.86435215466</v>
      </c>
      <c r="I39" s="501">
        <f t="shared" si="6"/>
        <v>0</v>
      </c>
      <c r="J39" s="501"/>
      <c r="K39" s="513"/>
      <c r="L39" s="505">
        <f t="shared" si="23"/>
        <v>0</v>
      </c>
      <c r="M39" s="513"/>
      <c r="N39" s="505">
        <f t="shared" si="4"/>
        <v>0</v>
      </c>
      <c r="O39" s="505">
        <f t="shared" si="5"/>
        <v>0</v>
      </c>
      <c r="P39" s="279"/>
      <c r="R39" s="244"/>
      <c r="S39" s="244"/>
      <c r="T39" s="244"/>
      <c r="U39" s="244"/>
    </row>
    <row r="40" spans="2:21" ht="12.5">
      <c r="B40" s="145" t="str">
        <f t="shared" si="0"/>
        <v/>
      </c>
      <c r="C40" s="496">
        <f>IF(D11="","-",+C39+1)</f>
        <v>2037</v>
      </c>
      <c r="D40" s="509">
        <f>IF(F39+SUM(E$17:E39)=D$10,F39,D$10-SUM(E$17:E39))</f>
        <v>684191.03043578123</v>
      </c>
      <c r="E40" s="510">
        <f t="shared" si="19"/>
        <v>56503.78787878788</v>
      </c>
      <c r="F40" s="511">
        <f t="shared" si="20"/>
        <v>627687.24255699338</v>
      </c>
      <c r="G40" s="512">
        <f t="shared" si="21"/>
        <v>131778.55893461083</v>
      </c>
      <c r="H40" s="478">
        <f t="shared" si="22"/>
        <v>131778.55893461083</v>
      </c>
      <c r="I40" s="501">
        <f t="shared" si="6"/>
        <v>0</v>
      </c>
      <c r="J40" s="501"/>
      <c r="K40" s="513"/>
      <c r="L40" s="505">
        <f t="shared" si="23"/>
        <v>0</v>
      </c>
      <c r="M40" s="513"/>
      <c r="N40" s="505">
        <f t="shared" si="4"/>
        <v>0</v>
      </c>
      <c r="O40" s="505">
        <f t="shared" si="5"/>
        <v>0</v>
      </c>
      <c r="P40" s="279"/>
      <c r="R40" s="244"/>
      <c r="S40" s="244"/>
      <c r="T40" s="244"/>
      <c r="U40" s="244"/>
    </row>
    <row r="41" spans="2:21" ht="12.5">
      <c r="B41" s="145" t="str">
        <f t="shared" si="0"/>
        <v/>
      </c>
      <c r="C41" s="496">
        <f>IF(D12="","-",+C40+1)</f>
        <v>2038</v>
      </c>
      <c r="D41" s="509">
        <f>IF(F40+SUM(E$17:E40)=D$10,F40,D$10-SUM(E$17:E40))</f>
        <v>627687.24255699338</v>
      </c>
      <c r="E41" s="510">
        <f t="shared" si="19"/>
        <v>56503.78787878788</v>
      </c>
      <c r="F41" s="511">
        <f t="shared" si="20"/>
        <v>571183.45467820554</v>
      </c>
      <c r="G41" s="512">
        <f t="shared" si="21"/>
        <v>125294.253517067</v>
      </c>
      <c r="H41" s="478">
        <f t="shared" si="22"/>
        <v>125294.253517067</v>
      </c>
      <c r="I41" s="501">
        <f t="shared" si="6"/>
        <v>0</v>
      </c>
      <c r="J41" s="501"/>
      <c r="K41" s="513"/>
      <c r="L41" s="505">
        <f t="shared" si="23"/>
        <v>0</v>
      </c>
      <c r="M41" s="513"/>
      <c r="N41" s="505">
        <f t="shared" si="4"/>
        <v>0</v>
      </c>
      <c r="O41" s="505">
        <f t="shared" si="5"/>
        <v>0</v>
      </c>
      <c r="P41" s="279"/>
      <c r="R41" s="244"/>
      <c r="S41" s="244"/>
      <c r="T41" s="244"/>
      <c r="U41" s="244"/>
    </row>
    <row r="42" spans="2:21" ht="12.5">
      <c r="B42" s="145" t="str">
        <f t="shared" si="0"/>
        <v/>
      </c>
      <c r="C42" s="496">
        <f>IF(D13="","-",+C41+1)</f>
        <v>2039</v>
      </c>
      <c r="D42" s="509">
        <f>IF(F41+SUM(E$17:E41)=D$10,F41,D$10-SUM(E$17:E41))</f>
        <v>571183.45467820554</v>
      </c>
      <c r="E42" s="510">
        <f t="shared" si="19"/>
        <v>56503.78787878788</v>
      </c>
      <c r="F42" s="511">
        <f t="shared" si="20"/>
        <v>514679.66679941764</v>
      </c>
      <c r="G42" s="512">
        <f t="shared" si="21"/>
        <v>118809.9480995232</v>
      </c>
      <c r="H42" s="478">
        <f t="shared" si="22"/>
        <v>118809.9480995232</v>
      </c>
      <c r="I42" s="501">
        <f t="shared" si="6"/>
        <v>0</v>
      </c>
      <c r="J42" s="501"/>
      <c r="K42" s="513"/>
      <c r="L42" s="505">
        <f t="shared" si="23"/>
        <v>0</v>
      </c>
      <c r="M42" s="513"/>
      <c r="N42" s="505">
        <f t="shared" si="4"/>
        <v>0</v>
      </c>
      <c r="O42" s="505">
        <f t="shared" si="5"/>
        <v>0</v>
      </c>
      <c r="P42" s="279"/>
      <c r="R42" s="244"/>
      <c r="S42" s="244"/>
      <c r="T42" s="244"/>
      <c r="U42" s="244"/>
    </row>
    <row r="43" spans="2:21" ht="12.5">
      <c r="B43" s="145" t="str">
        <f t="shared" si="0"/>
        <v/>
      </c>
      <c r="C43" s="496">
        <f>IF(D14="","-",+C42+1)</f>
        <v>2040</v>
      </c>
      <c r="D43" s="509">
        <f>IF(F42+SUM(E$17:E42)=D$10,F42,D$10-SUM(E$17:E42))</f>
        <v>514679.66679941764</v>
      </c>
      <c r="E43" s="510">
        <f t="shared" si="19"/>
        <v>56503.78787878788</v>
      </c>
      <c r="F43" s="511">
        <f t="shared" si="20"/>
        <v>458175.87892062974</v>
      </c>
      <c r="G43" s="512">
        <f t="shared" si="21"/>
        <v>112325.64268197936</v>
      </c>
      <c r="H43" s="478">
        <f t="shared" si="22"/>
        <v>112325.64268197936</v>
      </c>
      <c r="I43" s="501">
        <f t="shared" si="6"/>
        <v>0</v>
      </c>
      <c r="J43" s="501"/>
      <c r="K43" s="513"/>
      <c r="L43" s="505">
        <f t="shared" si="23"/>
        <v>0</v>
      </c>
      <c r="M43" s="513"/>
      <c r="N43" s="505">
        <f t="shared" si="4"/>
        <v>0</v>
      </c>
      <c r="O43" s="505">
        <f t="shared" si="5"/>
        <v>0</v>
      </c>
      <c r="P43" s="279"/>
      <c r="R43" s="244"/>
      <c r="S43" s="244"/>
      <c r="T43" s="244"/>
      <c r="U43" s="244"/>
    </row>
    <row r="44" spans="2:21" ht="12.5">
      <c r="B44" s="145" t="str">
        <f t="shared" si="0"/>
        <v/>
      </c>
      <c r="C44" s="496">
        <f>IF(D15="","-",+C43+1)</f>
        <v>2041</v>
      </c>
      <c r="D44" s="509">
        <f>IF(F43+SUM(E$17:E43)=D$10,F43,D$10-SUM(E$17:E43))</f>
        <v>458175.87892062974</v>
      </c>
      <c r="E44" s="510">
        <f t="shared" si="19"/>
        <v>56503.78787878788</v>
      </c>
      <c r="F44" s="511">
        <f t="shared" si="20"/>
        <v>401672.09104184184</v>
      </c>
      <c r="G44" s="512">
        <f t="shared" si="21"/>
        <v>105841.33726443554</v>
      </c>
      <c r="H44" s="478">
        <f t="shared" si="22"/>
        <v>105841.33726443554</v>
      </c>
      <c r="I44" s="501">
        <f t="shared" si="6"/>
        <v>0</v>
      </c>
      <c r="J44" s="501"/>
      <c r="K44" s="513"/>
      <c r="L44" s="505">
        <f t="shared" si="23"/>
        <v>0</v>
      </c>
      <c r="M44" s="513"/>
      <c r="N44" s="505">
        <f t="shared" si="4"/>
        <v>0</v>
      </c>
      <c r="O44" s="505">
        <f t="shared" si="5"/>
        <v>0</v>
      </c>
      <c r="P44" s="279"/>
      <c r="R44" s="244"/>
      <c r="S44" s="244"/>
      <c r="T44" s="244"/>
      <c r="U44" s="244"/>
    </row>
    <row r="45" spans="2:21" ht="12.5">
      <c r="B45" s="145" t="str">
        <f t="shared" si="0"/>
        <v/>
      </c>
      <c r="C45" s="496">
        <f>IF(D11="","-",+C44+1)</f>
        <v>2042</v>
      </c>
      <c r="D45" s="509">
        <f>IF(F44+SUM(E$17:E44)=D$10,F44,D$10-SUM(E$17:E44))</f>
        <v>401672.09104184184</v>
      </c>
      <c r="E45" s="510">
        <f t="shared" si="19"/>
        <v>56503.78787878788</v>
      </c>
      <c r="F45" s="511">
        <f t="shared" si="20"/>
        <v>345168.30316305393</v>
      </c>
      <c r="G45" s="512">
        <f t="shared" si="21"/>
        <v>99357.03184689171</v>
      </c>
      <c r="H45" s="478">
        <f t="shared" si="22"/>
        <v>99357.03184689171</v>
      </c>
      <c r="I45" s="501">
        <f t="shared" si="6"/>
        <v>0</v>
      </c>
      <c r="J45" s="501"/>
      <c r="K45" s="513"/>
      <c r="L45" s="505">
        <f t="shared" si="23"/>
        <v>0</v>
      </c>
      <c r="M45" s="513"/>
      <c r="N45" s="505">
        <f t="shared" si="4"/>
        <v>0</v>
      </c>
      <c r="O45" s="505">
        <f t="shared" si="5"/>
        <v>0</v>
      </c>
      <c r="P45" s="279"/>
      <c r="R45" s="244"/>
      <c r="S45" s="244"/>
      <c r="T45" s="244"/>
      <c r="U45" s="244"/>
    </row>
    <row r="46" spans="2:21" ht="12.5">
      <c r="B46" s="145" t="str">
        <f t="shared" si="0"/>
        <v/>
      </c>
      <c r="C46" s="496">
        <f>IF(D11="","-",+C45+1)</f>
        <v>2043</v>
      </c>
      <c r="D46" s="509">
        <f>IF(F45+SUM(E$17:E45)=D$10,F45,D$10-SUM(E$17:E45))</f>
        <v>345168.30316305393</v>
      </c>
      <c r="E46" s="510">
        <f t="shared" si="19"/>
        <v>56503.78787878788</v>
      </c>
      <c r="F46" s="511">
        <f t="shared" si="20"/>
        <v>288664.51528426603</v>
      </c>
      <c r="G46" s="512">
        <f t="shared" si="21"/>
        <v>92872.72642934788</v>
      </c>
      <c r="H46" s="478">
        <f t="shared" si="22"/>
        <v>92872.72642934788</v>
      </c>
      <c r="I46" s="501">
        <f t="shared" si="6"/>
        <v>0</v>
      </c>
      <c r="J46" s="501"/>
      <c r="K46" s="513"/>
      <c r="L46" s="505">
        <f t="shared" si="23"/>
        <v>0</v>
      </c>
      <c r="M46" s="513"/>
      <c r="N46" s="505">
        <f t="shared" si="4"/>
        <v>0</v>
      </c>
      <c r="O46" s="505">
        <f t="shared" si="5"/>
        <v>0</v>
      </c>
      <c r="P46" s="279"/>
      <c r="R46" s="244"/>
      <c r="S46" s="244"/>
      <c r="T46" s="244"/>
      <c r="U46" s="244"/>
    </row>
    <row r="47" spans="2:21" ht="12.5">
      <c r="B47" s="145" t="str">
        <f t="shared" si="0"/>
        <v/>
      </c>
      <c r="C47" s="496">
        <f>IF(D11="","-",+C46+1)</f>
        <v>2044</v>
      </c>
      <c r="D47" s="509">
        <f>IF(F46+SUM(E$17:E46)=D$10,F46,D$10-SUM(E$17:E46))</f>
        <v>288664.51528426603</v>
      </c>
      <c r="E47" s="510">
        <f t="shared" si="19"/>
        <v>56503.78787878788</v>
      </c>
      <c r="F47" s="511">
        <f t="shared" si="20"/>
        <v>232160.72740547816</v>
      </c>
      <c r="G47" s="512">
        <f t="shared" si="21"/>
        <v>86388.421011804065</v>
      </c>
      <c r="H47" s="478">
        <f t="shared" si="22"/>
        <v>86388.421011804065</v>
      </c>
      <c r="I47" s="501">
        <f t="shared" si="6"/>
        <v>0</v>
      </c>
      <c r="J47" s="501"/>
      <c r="K47" s="513"/>
      <c r="L47" s="505">
        <f t="shared" si="23"/>
        <v>0</v>
      </c>
      <c r="M47" s="513"/>
      <c r="N47" s="505">
        <f t="shared" si="4"/>
        <v>0</v>
      </c>
      <c r="O47" s="505">
        <f t="shared" si="5"/>
        <v>0</v>
      </c>
      <c r="P47" s="279"/>
      <c r="R47" s="244"/>
      <c r="S47" s="244"/>
      <c r="T47" s="244"/>
      <c r="U47" s="244"/>
    </row>
    <row r="48" spans="2:21" ht="12.5">
      <c r="B48" s="145" t="str">
        <f t="shared" si="0"/>
        <v/>
      </c>
      <c r="C48" s="496">
        <f>IF(D11="","-",+C47+1)</f>
        <v>2045</v>
      </c>
      <c r="D48" s="509">
        <f>IF(F47+SUM(E$17:E47)=D$10,F47,D$10-SUM(E$17:E47))</f>
        <v>232160.72740547816</v>
      </c>
      <c r="E48" s="510">
        <f t="shared" si="19"/>
        <v>56503.78787878788</v>
      </c>
      <c r="F48" s="511">
        <f t="shared" si="20"/>
        <v>175656.93952669029</v>
      </c>
      <c r="G48" s="512">
        <f t="shared" si="21"/>
        <v>79904.115594260235</v>
      </c>
      <c r="H48" s="478">
        <f t="shared" si="22"/>
        <v>79904.115594260235</v>
      </c>
      <c r="I48" s="501">
        <f t="shared" si="6"/>
        <v>0</v>
      </c>
      <c r="J48" s="501"/>
      <c r="K48" s="513"/>
      <c r="L48" s="505">
        <f t="shared" si="23"/>
        <v>0</v>
      </c>
      <c r="M48" s="513"/>
      <c r="N48" s="505">
        <f t="shared" si="4"/>
        <v>0</v>
      </c>
      <c r="O48" s="505">
        <f t="shared" si="5"/>
        <v>0</v>
      </c>
      <c r="P48" s="279"/>
      <c r="R48" s="244"/>
      <c r="S48" s="244"/>
      <c r="T48" s="244"/>
      <c r="U48" s="244"/>
    </row>
    <row r="49" spans="2:21" ht="12.5">
      <c r="B49" s="145" t="str">
        <f t="shared" si="0"/>
        <v/>
      </c>
      <c r="C49" s="496">
        <f>IF(D11="","-",+C48+1)</f>
        <v>2046</v>
      </c>
      <c r="D49" s="509">
        <f>IF(F48+SUM(E$17:E48)=D$10,F48,D$10-SUM(E$17:E48))</f>
        <v>175656.93952669029</v>
      </c>
      <c r="E49" s="510">
        <f t="shared" si="19"/>
        <v>56503.78787878788</v>
      </c>
      <c r="F49" s="511">
        <f t="shared" si="20"/>
        <v>119153.15164790241</v>
      </c>
      <c r="G49" s="512">
        <f t="shared" si="21"/>
        <v>73419.810176716419</v>
      </c>
      <c r="H49" s="478">
        <f t="shared" si="22"/>
        <v>73419.810176716419</v>
      </c>
      <c r="I49" s="501">
        <f t="shared" si="6"/>
        <v>0</v>
      </c>
      <c r="J49" s="501"/>
      <c r="K49" s="513"/>
      <c r="L49" s="505">
        <f t="shared" si="23"/>
        <v>0</v>
      </c>
      <c r="M49" s="513"/>
      <c r="N49" s="505">
        <f t="shared" si="4"/>
        <v>0</v>
      </c>
      <c r="O49" s="505">
        <f t="shared" si="5"/>
        <v>0</v>
      </c>
      <c r="P49" s="279"/>
      <c r="R49" s="244"/>
      <c r="S49" s="244"/>
      <c r="T49" s="244"/>
      <c r="U49" s="244"/>
    </row>
    <row r="50" spans="2:21" ht="12.5">
      <c r="B50" s="145" t="str">
        <f t="shared" si="0"/>
        <v/>
      </c>
      <c r="C50" s="496">
        <f>IF(D11="","-",+C49+1)</f>
        <v>2047</v>
      </c>
      <c r="D50" s="509">
        <f>IF(F49+SUM(E$17:E49)=D$10,F49,D$10-SUM(E$17:E49))</f>
        <v>119153.15164790241</v>
      </c>
      <c r="E50" s="510">
        <f t="shared" si="19"/>
        <v>56503.78787878788</v>
      </c>
      <c r="F50" s="511">
        <f t="shared" si="20"/>
        <v>62649.363769114534</v>
      </c>
      <c r="G50" s="512">
        <f t="shared" si="21"/>
        <v>66935.504759172589</v>
      </c>
      <c r="H50" s="478">
        <f t="shared" si="22"/>
        <v>66935.504759172589</v>
      </c>
      <c r="I50" s="501">
        <f t="shared" si="6"/>
        <v>0</v>
      </c>
      <c r="J50" s="501"/>
      <c r="K50" s="513"/>
      <c r="L50" s="505">
        <f t="shared" si="23"/>
        <v>0</v>
      </c>
      <c r="M50" s="513"/>
      <c r="N50" s="505">
        <f t="shared" si="4"/>
        <v>0</v>
      </c>
      <c r="O50" s="505">
        <f t="shared" si="5"/>
        <v>0</v>
      </c>
      <c r="P50" s="279"/>
      <c r="R50" s="244"/>
      <c r="S50" s="244"/>
      <c r="T50" s="244"/>
      <c r="U50" s="244"/>
    </row>
    <row r="51" spans="2:21" ht="12.5">
      <c r="B51" s="145" t="str">
        <f t="shared" si="0"/>
        <v/>
      </c>
      <c r="C51" s="496">
        <f>IF(D11="","-",+C50+1)</f>
        <v>2048</v>
      </c>
      <c r="D51" s="509">
        <f>IF(F50+SUM(E$17:E50)=D$10,F50,D$10-SUM(E$17:E50))</f>
        <v>62649.363769114534</v>
      </c>
      <c r="E51" s="510">
        <f t="shared" si="19"/>
        <v>56503.78787878788</v>
      </c>
      <c r="F51" s="511">
        <f t="shared" si="20"/>
        <v>6145.5758903266542</v>
      </c>
      <c r="G51" s="512">
        <f t="shared" si="21"/>
        <v>60451.199341628773</v>
      </c>
      <c r="H51" s="478">
        <f t="shared" si="22"/>
        <v>60451.199341628773</v>
      </c>
      <c r="I51" s="501">
        <f t="shared" si="6"/>
        <v>0</v>
      </c>
      <c r="J51" s="501"/>
      <c r="K51" s="513"/>
      <c r="L51" s="505">
        <f t="shared" si="23"/>
        <v>0</v>
      </c>
      <c r="M51" s="513"/>
      <c r="N51" s="505">
        <f t="shared" si="4"/>
        <v>0</v>
      </c>
      <c r="O51" s="505">
        <f t="shared" si="5"/>
        <v>0</v>
      </c>
      <c r="P51" s="279"/>
      <c r="R51" s="244"/>
      <c r="S51" s="244"/>
      <c r="T51" s="244"/>
      <c r="U51" s="244"/>
    </row>
    <row r="52" spans="2:21" ht="12.5">
      <c r="B52" s="145" t="str">
        <f t="shared" si="0"/>
        <v/>
      </c>
      <c r="C52" s="496">
        <f>IF(D11="","-",+C51+1)</f>
        <v>2049</v>
      </c>
      <c r="D52" s="509">
        <f>IF(F51+SUM(E$17:E51)=D$10,F51,D$10-SUM(E$17:E51))</f>
        <v>6145.5758903266542</v>
      </c>
      <c r="E52" s="510">
        <f t="shared" si="19"/>
        <v>6145.5758903266542</v>
      </c>
      <c r="F52" s="511">
        <f t="shared" si="20"/>
        <v>0</v>
      </c>
      <c r="G52" s="512">
        <f t="shared" si="21"/>
        <v>6498.2052673611433</v>
      </c>
      <c r="H52" s="478">
        <f t="shared" si="22"/>
        <v>6498.2052673611433</v>
      </c>
      <c r="I52" s="501">
        <f t="shared" si="6"/>
        <v>0</v>
      </c>
      <c r="J52" s="501"/>
      <c r="K52" s="513"/>
      <c r="L52" s="505">
        <f t="shared" si="23"/>
        <v>0</v>
      </c>
      <c r="M52" s="513"/>
      <c r="N52" s="505">
        <f t="shared" si="4"/>
        <v>0</v>
      </c>
      <c r="O52" s="505">
        <f t="shared" si="5"/>
        <v>0</v>
      </c>
      <c r="P52" s="279"/>
      <c r="R52" s="244"/>
      <c r="S52" s="244"/>
      <c r="T52" s="244"/>
      <c r="U52" s="244"/>
    </row>
    <row r="53" spans="2:21" ht="12.5">
      <c r="B53" s="145" t="str">
        <f t="shared" si="0"/>
        <v/>
      </c>
      <c r="C53" s="496">
        <f>IF(D11="","-",+C52+1)</f>
        <v>2050</v>
      </c>
      <c r="D53" s="509">
        <f>IF(F52+SUM(E$17:E52)=D$10,F52,D$10-SUM(E$17:E52))</f>
        <v>0</v>
      </c>
      <c r="E53" s="510">
        <f t="shared" si="19"/>
        <v>0</v>
      </c>
      <c r="F53" s="511">
        <f t="shared" si="20"/>
        <v>0</v>
      </c>
      <c r="G53" s="512">
        <f t="shared" si="21"/>
        <v>0</v>
      </c>
      <c r="H53" s="478">
        <f t="shared" si="22"/>
        <v>0</v>
      </c>
      <c r="I53" s="501">
        <f t="shared" si="6"/>
        <v>0</v>
      </c>
      <c r="J53" s="501"/>
      <c r="K53" s="513"/>
      <c r="L53" s="505">
        <f t="shared" si="23"/>
        <v>0</v>
      </c>
      <c r="M53" s="513"/>
      <c r="N53" s="505">
        <f t="shared" si="4"/>
        <v>0</v>
      </c>
      <c r="O53" s="505">
        <f t="shared" si="5"/>
        <v>0</v>
      </c>
      <c r="P53" s="279"/>
      <c r="R53" s="244"/>
      <c r="S53" s="244"/>
      <c r="T53" s="244"/>
      <c r="U53" s="244"/>
    </row>
    <row r="54" spans="2:21" ht="12.5">
      <c r="B54" s="145" t="str">
        <f t="shared" si="0"/>
        <v/>
      </c>
      <c r="C54" s="496">
        <f>IF(D11="","-",+C53+1)</f>
        <v>2051</v>
      </c>
      <c r="D54" s="509">
        <f>IF(F53+SUM(E$17:E53)=D$10,F53,D$10-SUM(E$17:E53))</f>
        <v>0</v>
      </c>
      <c r="E54" s="510">
        <f t="shared" si="19"/>
        <v>0</v>
      </c>
      <c r="F54" s="511">
        <f t="shared" si="20"/>
        <v>0</v>
      </c>
      <c r="G54" s="512">
        <f t="shared" si="21"/>
        <v>0</v>
      </c>
      <c r="H54" s="478">
        <f t="shared" si="22"/>
        <v>0</v>
      </c>
      <c r="I54" s="501">
        <f t="shared" si="6"/>
        <v>0</v>
      </c>
      <c r="J54" s="501"/>
      <c r="K54" s="513"/>
      <c r="L54" s="505">
        <f t="shared" si="23"/>
        <v>0</v>
      </c>
      <c r="M54" s="513"/>
      <c r="N54" s="505">
        <f t="shared" si="4"/>
        <v>0</v>
      </c>
      <c r="O54" s="505">
        <f t="shared" si="5"/>
        <v>0</v>
      </c>
      <c r="P54" s="279"/>
      <c r="R54" s="244"/>
      <c r="S54" s="244"/>
      <c r="T54" s="244"/>
      <c r="U54" s="244"/>
    </row>
    <row r="55" spans="2:21" ht="12.5">
      <c r="B55" s="145" t="str">
        <f t="shared" si="0"/>
        <v/>
      </c>
      <c r="C55" s="496">
        <f>IF(D11="","-",+C54+1)</f>
        <v>2052</v>
      </c>
      <c r="D55" s="509">
        <f>IF(F54+SUM(E$17:E54)=D$10,F54,D$10-SUM(E$17:E54))</f>
        <v>0</v>
      </c>
      <c r="E55" s="510">
        <f t="shared" si="19"/>
        <v>0</v>
      </c>
      <c r="F55" s="511">
        <f t="shared" si="20"/>
        <v>0</v>
      </c>
      <c r="G55" s="512">
        <f t="shared" si="21"/>
        <v>0</v>
      </c>
      <c r="H55" s="478">
        <f t="shared" si="22"/>
        <v>0</v>
      </c>
      <c r="I55" s="501">
        <f t="shared" si="6"/>
        <v>0</v>
      </c>
      <c r="J55" s="501"/>
      <c r="K55" s="513"/>
      <c r="L55" s="505">
        <f t="shared" si="23"/>
        <v>0</v>
      </c>
      <c r="M55" s="513"/>
      <c r="N55" s="505">
        <f t="shared" si="4"/>
        <v>0</v>
      </c>
      <c r="O55" s="505">
        <f t="shared" si="5"/>
        <v>0</v>
      </c>
      <c r="P55" s="279"/>
      <c r="R55" s="244"/>
      <c r="S55" s="244"/>
      <c r="T55" s="244"/>
      <c r="U55" s="244"/>
    </row>
    <row r="56" spans="2:21" ht="12.5">
      <c r="B56" s="145" t="str">
        <f t="shared" si="0"/>
        <v/>
      </c>
      <c r="C56" s="496">
        <f>IF(D11="","-",+C55+1)</f>
        <v>2053</v>
      </c>
      <c r="D56" s="509">
        <f>IF(F55+SUM(E$17:E55)=D$10,F55,D$10-SUM(E$17:E55))</f>
        <v>0</v>
      </c>
      <c r="E56" s="510">
        <f t="shared" si="19"/>
        <v>0</v>
      </c>
      <c r="F56" s="511">
        <f t="shared" si="20"/>
        <v>0</v>
      </c>
      <c r="G56" s="512">
        <f t="shared" si="21"/>
        <v>0</v>
      </c>
      <c r="H56" s="478">
        <f t="shared" si="22"/>
        <v>0</v>
      </c>
      <c r="I56" s="501">
        <f t="shared" si="6"/>
        <v>0</v>
      </c>
      <c r="J56" s="501"/>
      <c r="K56" s="513"/>
      <c r="L56" s="505">
        <f t="shared" si="23"/>
        <v>0</v>
      </c>
      <c r="M56" s="513"/>
      <c r="N56" s="505">
        <f t="shared" si="4"/>
        <v>0</v>
      </c>
      <c r="O56" s="505">
        <f t="shared" si="5"/>
        <v>0</v>
      </c>
      <c r="P56" s="279"/>
      <c r="R56" s="244"/>
      <c r="S56" s="244"/>
      <c r="T56" s="244"/>
      <c r="U56" s="244"/>
    </row>
    <row r="57" spans="2:21" ht="12.5">
      <c r="B57" s="145" t="str">
        <f t="shared" si="0"/>
        <v/>
      </c>
      <c r="C57" s="496">
        <f>IF(D11="","-",+C56+1)</f>
        <v>2054</v>
      </c>
      <c r="D57" s="509">
        <f>IF(F56+SUM(E$17:E56)=D$10,F56,D$10-SUM(E$17:E56))</f>
        <v>0</v>
      </c>
      <c r="E57" s="510">
        <f t="shared" si="19"/>
        <v>0</v>
      </c>
      <c r="F57" s="511">
        <f t="shared" si="20"/>
        <v>0</v>
      </c>
      <c r="G57" s="512">
        <f t="shared" si="21"/>
        <v>0</v>
      </c>
      <c r="H57" s="478">
        <f t="shared" si="22"/>
        <v>0</v>
      </c>
      <c r="I57" s="501">
        <f t="shared" si="6"/>
        <v>0</v>
      </c>
      <c r="J57" s="501"/>
      <c r="K57" s="513"/>
      <c r="L57" s="505">
        <f t="shared" si="23"/>
        <v>0</v>
      </c>
      <c r="M57" s="513"/>
      <c r="N57" s="505">
        <f t="shared" si="4"/>
        <v>0</v>
      </c>
      <c r="O57" s="505">
        <f t="shared" si="5"/>
        <v>0</v>
      </c>
      <c r="P57" s="279"/>
      <c r="R57" s="244"/>
      <c r="S57" s="244"/>
      <c r="T57" s="244"/>
      <c r="U57" s="244"/>
    </row>
    <row r="58" spans="2:21" ht="12.5">
      <c r="B58" s="145" t="str">
        <f t="shared" si="0"/>
        <v/>
      </c>
      <c r="C58" s="496">
        <f>IF(D11="","-",+C57+1)</f>
        <v>2055</v>
      </c>
      <c r="D58" s="509">
        <f>IF(F57+SUM(E$17:E57)=D$10,F57,D$10-SUM(E$17:E57))</f>
        <v>0</v>
      </c>
      <c r="E58" s="510">
        <f t="shared" si="19"/>
        <v>0</v>
      </c>
      <c r="F58" s="511">
        <f t="shared" si="20"/>
        <v>0</v>
      </c>
      <c r="G58" s="512">
        <f t="shared" si="21"/>
        <v>0</v>
      </c>
      <c r="H58" s="478">
        <f t="shared" si="22"/>
        <v>0</v>
      </c>
      <c r="I58" s="501">
        <f t="shared" si="6"/>
        <v>0</v>
      </c>
      <c r="J58" s="501"/>
      <c r="K58" s="513"/>
      <c r="L58" s="505">
        <f t="shared" si="23"/>
        <v>0</v>
      </c>
      <c r="M58" s="513"/>
      <c r="N58" s="505">
        <f t="shared" si="4"/>
        <v>0</v>
      </c>
      <c r="O58" s="505">
        <f t="shared" si="5"/>
        <v>0</v>
      </c>
      <c r="P58" s="279"/>
      <c r="R58" s="244"/>
      <c r="S58" s="244"/>
      <c r="T58" s="244"/>
      <c r="U58" s="244"/>
    </row>
    <row r="59" spans="2:21" ht="12.5">
      <c r="B59" s="145" t="str">
        <f t="shared" si="0"/>
        <v/>
      </c>
      <c r="C59" s="496">
        <f>IF(D11="","-",+C58+1)</f>
        <v>2056</v>
      </c>
      <c r="D59" s="509">
        <f>IF(F58+SUM(E$17:E58)=D$10,F58,D$10-SUM(E$17:E58))</f>
        <v>0</v>
      </c>
      <c r="E59" s="510">
        <f t="shared" si="19"/>
        <v>0</v>
      </c>
      <c r="F59" s="511">
        <f t="shared" si="20"/>
        <v>0</v>
      </c>
      <c r="G59" s="512">
        <f t="shared" si="21"/>
        <v>0</v>
      </c>
      <c r="H59" s="478">
        <f t="shared" si="22"/>
        <v>0</v>
      </c>
      <c r="I59" s="501">
        <f t="shared" si="6"/>
        <v>0</v>
      </c>
      <c r="J59" s="501"/>
      <c r="K59" s="513"/>
      <c r="L59" s="505">
        <f t="shared" si="23"/>
        <v>0</v>
      </c>
      <c r="M59" s="513"/>
      <c r="N59" s="505">
        <f t="shared" si="4"/>
        <v>0</v>
      </c>
      <c r="O59" s="505">
        <f t="shared" si="5"/>
        <v>0</v>
      </c>
      <c r="P59" s="279"/>
      <c r="R59" s="244"/>
      <c r="S59" s="244"/>
      <c r="T59" s="244"/>
      <c r="U59" s="244"/>
    </row>
    <row r="60" spans="2:21" ht="12.5">
      <c r="B60" s="145" t="str">
        <f t="shared" si="0"/>
        <v/>
      </c>
      <c r="C60" s="496">
        <f>IF(D11="","-",+C59+1)</f>
        <v>2057</v>
      </c>
      <c r="D60" s="509">
        <f>IF(F59+SUM(E$17:E59)=D$10,F59,D$10-SUM(E$17:E59))</f>
        <v>0</v>
      </c>
      <c r="E60" s="510">
        <f t="shared" si="19"/>
        <v>0</v>
      </c>
      <c r="F60" s="511">
        <f t="shared" si="20"/>
        <v>0</v>
      </c>
      <c r="G60" s="512">
        <f t="shared" si="21"/>
        <v>0</v>
      </c>
      <c r="H60" s="478">
        <f t="shared" si="22"/>
        <v>0</v>
      </c>
      <c r="I60" s="501">
        <f t="shared" si="6"/>
        <v>0</v>
      </c>
      <c r="J60" s="501"/>
      <c r="K60" s="513"/>
      <c r="L60" s="505">
        <f t="shared" si="23"/>
        <v>0</v>
      </c>
      <c r="M60" s="513"/>
      <c r="N60" s="505">
        <f t="shared" si="4"/>
        <v>0</v>
      </c>
      <c r="O60" s="505">
        <f t="shared" si="5"/>
        <v>0</v>
      </c>
      <c r="P60" s="279"/>
      <c r="R60" s="244"/>
      <c r="S60" s="244"/>
      <c r="T60" s="244"/>
      <c r="U60" s="244"/>
    </row>
    <row r="61" spans="2:21" ht="12.5">
      <c r="B61" s="145" t="str">
        <f t="shared" si="0"/>
        <v/>
      </c>
      <c r="C61" s="496">
        <f>IF(D11="","-",+C60+1)</f>
        <v>2058</v>
      </c>
      <c r="D61" s="509">
        <f>IF(F60+SUM(E$17:E60)=D$10,F60,D$10-SUM(E$17:E60))</f>
        <v>0</v>
      </c>
      <c r="E61" s="510">
        <f t="shared" si="19"/>
        <v>0</v>
      </c>
      <c r="F61" s="511">
        <f t="shared" si="20"/>
        <v>0</v>
      </c>
      <c r="G61" s="512">
        <f t="shared" si="21"/>
        <v>0</v>
      </c>
      <c r="H61" s="478">
        <f t="shared" si="22"/>
        <v>0</v>
      </c>
      <c r="I61" s="501">
        <f t="shared" si="6"/>
        <v>0</v>
      </c>
      <c r="J61" s="501"/>
      <c r="K61" s="513"/>
      <c r="L61" s="505">
        <f t="shared" si="23"/>
        <v>0</v>
      </c>
      <c r="M61" s="513"/>
      <c r="N61" s="505">
        <f t="shared" si="4"/>
        <v>0</v>
      </c>
      <c r="O61" s="505">
        <f t="shared" si="5"/>
        <v>0</v>
      </c>
      <c r="P61" s="279"/>
      <c r="R61" s="244"/>
      <c r="S61" s="244"/>
      <c r="T61" s="244"/>
      <c r="U61" s="244"/>
    </row>
    <row r="62" spans="2:21" ht="12.5">
      <c r="B62" s="145" t="str">
        <f t="shared" si="0"/>
        <v/>
      </c>
      <c r="C62" s="496">
        <f>IF(D11="","-",+C61+1)</f>
        <v>2059</v>
      </c>
      <c r="D62" s="509">
        <f>IF(F61+SUM(E$17:E61)=D$10,F61,D$10-SUM(E$17:E61))</f>
        <v>0</v>
      </c>
      <c r="E62" s="510">
        <f t="shared" si="19"/>
        <v>0</v>
      </c>
      <c r="F62" s="511">
        <f t="shared" si="20"/>
        <v>0</v>
      </c>
      <c r="G62" s="512">
        <f t="shared" si="21"/>
        <v>0</v>
      </c>
      <c r="H62" s="478">
        <f t="shared" si="22"/>
        <v>0</v>
      </c>
      <c r="I62" s="501">
        <f t="shared" si="6"/>
        <v>0</v>
      </c>
      <c r="J62" s="501"/>
      <c r="K62" s="513"/>
      <c r="L62" s="505">
        <f t="shared" si="23"/>
        <v>0</v>
      </c>
      <c r="M62" s="513"/>
      <c r="N62" s="505">
        <f t="shared" si="4"/>
        <v>0</v>
      </c>
      <c r="O62" s="505">
        <f t="shared" si="5"/>
        <v>0</v>
      </c>
      <c r="P62" s="279"/>
      <c r="R62" s="244"/>
      <c r="S62" s="244"/>
      <c r="T62" s="244"/>
      <c r="U62" s="244"/>
    </row>
    <row r="63" spans="2:21" ht="12.5">
      <c r="B63" s="145" t="str">
        <f t="shared" si="0"/>
        <v/>
      </c>
      <c r="C63" s="496">
        <f>IF(D11="","-",+C62+1)</f>
        <v>2060</v>
      </c>
      <c r="D63" s="509">
        <f>IF(F62+SUM(E$17:E62)=D$10,F62,D$10-SUM(E$17:E62))</f>
        <v>0</v>
      </c>
      <c r="E63" s="510">
        <f t="shared" si="19"/>
        <v>0</v>
      </c>
      <c r="F63" s="511">
        <f t="shared" si="20"/>
        <v>0</v>
      </c>
      <c r="G63" s="512">
        <f t="shared" si="21"/>
        <v>0</v>
      </c>
      <c r="H63" s="478">
        <f t="shared" si="22"/>
        <v>0</v>
      </c>
      <c r="I63" s="501">
        <f t="shared" si="6"/>
        <v>0</v>
      </c>
      <c r="J63" s="501"/>
      <c r="K63" s="513"/>
      <c r="L63" s="505">
        <f t="shared" si="23"/>
        <v>0</v>
      </c>
      <c r="M63" s="513"/>
      <c r="N63" s="505">
        <f t="shared" si="4"/>
        <v>0</v>
      </c>
      <c r="O63" s="505">
        <f t="shared" si="5"/>
        <v>0</v>
      </c>
      <c r="P63" s="279"/>
      <c r="R63" s="244"/>
      <c r="S63" s="244"/>
      <c r="T63" s="244"/>
      <c r="U63" s="244"/>
    </row>
    <row r="64" spans="2:21" ht="12.5">
      <c r="B64" s="145" t="str">
        <f t="shared" si="0"/>
        <v/>
      </c>
      <c r="C64" s="496">
        <f>IF(D11="","-",+C63+1)</f>
        <v>2061</v>
      </c>
      <c r="D64" s="509">
        <f>IF(F63+SUM(E$17:E63)=D$10,F63,D$10-SUM(E$17:E63))</f>
        <v>0</v>
      </c>
      <c r="E64" s="510">
        <f t="shared" si="19"/>
        <v>0</v>
      </c>
      <c r="F64" s="511">
        <f t="shared" si="20"/>
        <v>0</v>
      </c>
      <c r="G64" s="512">
        <f t="shared" si="21"/>
        <v>0</v>
      </c>
      <c r="H64" s="478">
        <f t="shared" si="22"/>
        <v>0</v>
      </c>
      <c r="I64" s="501">
        <f t="shared" si="6"/>
        <v>0</v>
      </c>
      <c r="J64" s="501"/>
      <c r="K64" s="513"/>
      <c r="L64" s="505">
        <f t="shared" si="23"/>
        <v>0</v>
      </c>
      <c r="M64" s="513"/>
      <c r="N64" s="505">
        <f t="shared" si="4"/>
        <v>0</v>
      </c>
      <c r="O64" s="505">
        <f t="shared" si="5"/>
        <v>0</v>
      </c>
      <c r="P64" s="279"/>
      <c r="R64" s="244"/>
      <c r="S64" s="244"/>
      <c r="T64" s="244"/>
      <c r="U64" s="244"/>
    </row>
    <row r="65" spans="2:21" ht="12.5">
      <c r="B65" s="145" t="str">
        <f t="shared" si="0"/>
        <v/>
      </c>
      <c r="C65" s="496">
        <f>IF(D11="","-",+C64+1)</f>
        <v>2062</v>
      </c>
      <c r="D65" s="509">
        <f>IF(F64+SUM(E$17:E64)=D$10,F64,D$10-SUM(E$17:E64))</f>
        <v>0</v>
      </c>
      <c r="E65" s="510">
        <f t="shared" si="19"/>
        <v>0</v>
      </c>
      <c r="F65" s="511">
        <f t="shared" si="20"/>
        <v>0</v>
      </c>
      <c r="G65" s="512">
        <f t="shared" si="21"/>
        <v>0</v>
      </c>
      <c r="H65" s="478">
        <f t="shared" si="22"/>
        <v>0</v>
      </c>
      <c r="I65" s="501">
        <f t="shared" si="6"/>
        <v>0</v>
      </c>
      <c r="J65" s="501"/>
      <c r="K65" s="513"/>
      <c r="L65" s="505">
        <f t="shared" si="23"/>
        <v>0</v>
      </c>
      <c r="M65" s="513"/>
      <c r="N65" s="505">
        <f t="shared" si="4"/>
        <v>0</v>
      </c>
      <c r="O65" s="505">
        <f t="shared" si="5"/>
        <v>0</v>
      </c>
      <c r="P65" s="279"/>
      <c r="R65" s="244"/>
      <c r="S65" s="244"/>
      <c r="T65" s="244"/>
      <c r="U65" s="244"/>
    </row>
    <row r="66" spans="2:21" ht="12.5">
      <c r="B66" s="145" t="str">
        <f t="shared" si="0"/>
        <v/>
      </c>
      <c r="C66" s="496">
        <f>IF(D11="","-",+C65+1)</f>
        <v>2063</v>
      </c>
      <c r="D66" s="509">
        <f>IF(F65+SUM(E$17:E65)=D$10,F65,D$10-SUM(E$17:E65))</f>
        <v>0</v>
      </c>
      <c r="E66" s="510">
        <f t="shared" si="19"/>
        <v>0</v>
      </c>
      <c r="F66" s="511">
        <f t="shared" si="20"/>
        <v>0</v>
      </c>
      <c r="G66" s="512">
        <f t="shared" si="21"/>
        <v>0</v>
      </c>
      <c r="H66" s="478">
        <f t="shared" si="22"/>
        <v>0</v>
      </c>
      <c r="I66" s="501">
        <f t="shared" si="6"/>
        <v>0</v>
      </c>
      <c r="J66" s="501"/>
      <c r="K66" s="513"/>
      <c r="L66" s="505">
        <f t="shared" si="23"/>
        <v>0</v>
      </c>
      <c r="M66" s="513"/>
      <c r="N66" s="505">
        <f t="shared" si="4"/>
        <v>0</v>
      </c>
      <c r="O66" s="505">
        <f t="shared" si="5"/>
        <v>0</v>
      </c>
      <c r="P66" s="279"/>
      <c r="R66" s="244"/>
      <c r="S66" s="244"/>
      <c r="T66" s="244"/>
      <c r="U66" s="244"/>
    </row>
    <row r="67" spans="2:21" ht="12.5">
      <c r="B67" s="145" t="str">
        <f t="shared" si="0"/>
        <v/>
      </c>
      <c r="C67" s="496">
        <f>IF(D11="","-",+C66+1)</f>
        <v>2064</v>
      </c>
      <c r="D67" s="509">
        <f>IF(F66+SUM(E$17:E66)=D$10,F66,D$10-SUM(E$17:E66))</f>
        <v>0</v>
      </c>
      <c r="E67" s="510">
        <f t="shared" si="19"/>
        <v>0</v>
      </c>
      <c r="F67" s="511">
        <f t="shared" si="20"/>
        <v>0</v>
      </c>
      <c r="G67" s="512">
        <f t="shared" si="21"/>
        <v>0</v>
      </c>
      <c r="H67" s="478">
        <f t="shared" si="22"/>
        <v>0</v>
      </c>
      <c r="I67" s="501">
        <f t="shared" si="6"/>
        <v>0</v>
      </c>
      <c r="J67" s="501"/>
      <c r="K67" s="513"/>
      <c r="L67" s="505">
        <f t="shared" si="23"/>
        <v>0</v>
      </c>
      <c r="M67" s="513"/>
      <c r="N67" s="505">
        <f t="shared" si="4"/>
        <v>0</v>
      </c>
      <c r="O67" s="505">
        <f t="shared" si="5"/>
        <v>0</v>
      </c>
      <c r="P67" s="279"/>
      <c r="R67" s="244"/>
      <c r="S67" s="244"/>
      <c r="T67" s="244"/>
      <c r="U67" s="244"/>
    </row>
    <row r="68" spans="2:21" ht="12.5">
      <c r="B68" s="145" t="str">
        <f t="shared" si="0"/>
        <v/>
      </c>
      <c r="C68" s="496">
        <f>IF(D11="","-",+C67+1)</f>
        <v>2065</v>
      </c>
      <c r="D68" s="509">
        <f>IF(F67+SUM(E$17:E67)=D$10,F67,D$10-SUM(E$17:E67))</f>
        <v>0</v>
      </c>
      <c r="E68" s="510">
        <f t="shared" si="19"/>
        <v>0</v>
      </c>
      <c r="F68" s="511">
        <f t="shared" si="20"/>
        <v>0</v>
      </c>
      <c r="G68" s="512">
        <f t="shared" si="21"/>
        <v>0</v>
      </c>
      <c r="H68" s="478">
        <f t="shared" si="22"/>
        <v>0</v>
      </c>
      <c r="I68" s="501">
        <f t="shared" si="6"/>
        <v>0</v>
      </c>
      <c r="J68" s="501"/>
      <c r="K68" s="513"/>
      <c r="L68" s="505">
        <f t="shared" si="23"/>
        <v>0</v>
      </c>
      <c r="M68" s="513"/>
      <c r="N68" s="505">
        <f t="shared" si="4"/>
        <v>0</v>
      </c>
      <c r="O68" s="505">
        <f t="shared" si="5"/>
        <v>0</v>
      </c>
      <c r="P68" s="279"/>
      <c r="R68" s="244"/>
      <c r="S68" s="244"/>
      <c r="T68" s="244"/>
      <c r="U68" s="244"/>
    </row>
    <row r="69" spans="2:21" ht="12.5">
      <c r="B69" s="145" t="str">
        <f t="shared" si="0"/>
        <v/>
      </c>
      <c r="C69" s="496">
        <f>IF(D11="","-",+C68+1)</f>
        <v>2066</v>
      </c>
      <c r="D69" s="509">
        <f>IF(F68+SUM(E$17:E68)=D$10,F68,D$10-SUM(E$17:E68))</f>
        <v>0</v>
      </c>
      <c r="E69" s="510">
        <f t="shared" si="19"/>
        <v>0</v>
      </c>
      <c r="F69" s="511">
        <f t="shared" si="20"/>
        <v>0</v>
      </c>
      <c r="G69" s="512">
        <f t="shared" si="21"/>
        <v>0</v>
      </c>
      <c r="H69" s="478">
        <f t="shared" si="22"/>
        <v>0</v>
      </c>
      <c r="I69" s="501">
        <f t="shared" si="6"/>
        <v>0</v>
      </c>
      <c r="J69" s="501"/>
      <c r="K69" s="513"/>
      <c r="L69" s="505">
        <f t="shared" si="23"/>
        <v>0</v>
      </c>
      <c r="M69" s="513"/>
      <c r="N69" s="505">
        <f t="shared" si="4"/>
        <v>0</v>
      </c>
      <c r="O69" s="505">
        <f t="shared" si="5"/>
        <v>0</v>
      </c>
      <c r="P69" s="279"/>
      <c r="R69" s="244"/>
      <c r="S69" s="244"/>
      <c r="T69" s="244"/>
      <c r="U69" s="244"/>
    </row>
    <row r="70" spans="2:21" ht="12.5">
      <c r="B70" s="145" t="str">
        <f t="shared" si="0"/>
        <v/>
      </c>
      <c r="C70" s="496">
        <f>IF(D11="","-",+C69+1)</f>
        <v>2067</v>
      </c>
      <c r="D70" s="509">
        <f>IF(F69+SUM(E$17:E69)=D$10,F69,D$10-SUM(E$17:E69))</f>
        <v>0</v>
      </c>
      <c r="E70" s="510">
        <f t="shared" si="19"/>
        <v>0</v>
      </c>
      <c r="F70" s="511">
        <f t="shared" si="20"/>
        <v>0</v>
      </c>
      <c r="G70" s="512">
        <f t="shared" si="21"/>
        <v>0</v>
      </c>
      <c r="H70" s="478">
        <f t="shared" si="22"/>
        <v>0</v>
      </c>
      <c r="I70" s="501">
        <f t="shared" si="6"/>
        <v>0</v>
      </c>
      <c r="J70" s="501"/>
      <c r="K70" s="513"/>
      <c r="L70" s="505">
        <f t="shared" si="23"/>
        <v>0</v>
      </c>
      <c r="M70" s="513"/>
      <c r="N70" s="505">
        <f t="shared" si="4"/>
        <v>0</v>
      </c>
      <c r="O70" s="505">
        <f t="shared" si="5"/>
        <v>0</v>
      </c>
      <c r="P70" s="279"/>
      <c r="R70" s="244"/>
      <c r="S70" s="244"/>
      <c r="T70" s="244"/>
      <c r="U70" s="244"/>
    </row>
    <row r="71" spans="2:21" ht="12.5">
      <c r="B71" s="145" t="str">
        <f t="shared" si="0"/>
        <v/>
      </c>
      <c r="C71" s="496">
        <f>IF(D11="","-",+C70+1)</f>
        <v>2068</v>
      </c>
      <c r="D71" s="509">
        <f>IF(F70+SUM(E$17:E70)=D$10,F70,D$10-SUM(E$17:E70))</f>
        <v>0</v>
      </c>
      <c r="E71" s="510">
        <f t="shared" si="19"/>
        <v>0</v>
      </c>
      <c r="F71" s="511">
        <f t="shared" si="20"/>
        <v>0</v>
      </c>
      <c r="G71" s="512">
        <f t="shared" si="21"/>
        <v>0</v>
      </c>
      <c r="H71" s="478">
        <f t="shared" si="22"/>
        <v>0</v>
      </c>
      <c r="I71" s="501">
        <f t="shared" si="6"/>
        <v>0</v>
      </c>
      <c r="J71" s="501"/>
      <c r="K71" s="513"/>
      <c r="L71" s="505">
        <f t="shared" si="23"/>
        <v>0</v>
      </c>
      <c r="M71" s="513"/>
      <c r="N71" s="505">
        <f t="shared" si="4"/>
        <v>0</v>
      </c>
      <c r="O71" s="505">
        <f t="shared" si="5"/>
        <v>0</v>
      </c>
      <c r="P71" s="279"/>
      <c r="R71" s="244"/>
      <c r="S71" s="244"/>
      <c r="T71" s="244"/>
      <c r="U71" s="244"/>
    </row>
    <row r="72" spans="2:21" ht="12.5">
      <c r="B72" s="145" t="str">
        <f t="shared" si="0"/>
        <v/>
      </c>
      <c r="C72" s="496">
        <f>IF(D11="","-",+C71+1)</f>
        <v>2069</v>
      </c>
      <c r="D72" s="509">
        <f>IF(F71+SUM(E$17:E71)=D$10,F71,D$10-SUM(E$17:E71))</f>
        <v>0</v>
      </c>
      <c r="E72" s="510">
        <f t="shared" si="19"/>
        <v>0</v>
      </c>
      <c r="F72" s="511">
        <f t="shared" si="20"/>
        <v>0</v>
      </c>
      <c r="G72" s="512">
        <f t="shared" si="21"/>
        <v>0</v>
      </c>
      <c r="H72" s="478">
        <f t="shared" si="22"/>
        <v>0</v>
      </c>
      <c r="I72" s="501">
        <f t="shared" si="6"/>
        <v>0</v>
      </c>
      <c r="J72" s="501"/>
      <c r="K72" s="513"/>
      <c r="L72" s="505">
        <f t="shared" si="23"/>
        <v>0</v>
      </c>
      <c r="M72" s="513"/>
      <c r="N72" s="505">
        <f t="shared" si="4"/>
        <v>0</v>
      </c>
      <c r="O72" s="505">
        <f t="shared" si="5"/>
        <v>0</v>
      </c>
      <c r="P72" s="279"/>
      <c r="R72" s="244"/>
      <c r="S72" s="244"/>
      <c r="T72" s="244"/>
      <c r="U72" s="244"/>
    </row>
    <row r="73" spans="2:21" ht="13" thickBot="1">
      <c r="B73" s="145" t="str">
        <f t="shared" si="0"/>
        <v/>
      </c>
      <c r="C73" s="525">
        <f>IF(D11="","-",+C72+1)</f>
        <v>2070</v>
      </c>
      <c r="D73" s="526">
        <f>IF(F72+SUM(E$17:E72)=D$10,F72,D$10-SUM(E$17:E72))</f>
        <v>0</v>
      </c>
      <c r="E73" s="527">
        <f t="shared" si="19"/>
        <v>0</v>
      </c>
      <c r="F73" s="528">
        <f t="shared" si="20"/>
        <v>0</v>
      </c>
      <c r="G73" s="612">
        <f t="shared" si="21"/>
        <v>0</v>
      </c>
      <c r="H73" s="459">
        <f t="shared" si="22"/>
        <v>0</v>
      </c>
      <c r="I73" s="530">
        <f t="shared" si="6"/>
        <v>0</v>
      </c>
      <c r="J73" s="501"/>
      <c r="K73" s="531"/>
      <c r="L73" s="532">
        <f t="shared" si="23"/>
        <v>0</v>
      </c>
      <c r="M73" s="531"/>
      <c r="N73" s="532">
        <f t="shared" si="4"/>
        <v>0</v>
      </c>
      <c r="O73" s="532">
        <f t="shared" si="5"/>
        <v>0</v>
      </c>
      <c r="P73" s="279"/>
      <c r="R73" s="244"/>
      <c r="S73" s="244"/>
      <c r="T73" s="244"/>
      <c r="U73" s="244"/>
    </row>
    <row r="74" spans="2:21" ht="12.5">
      <c r="C74" s="350" t="s">
        <v>75</v>
      </c>
      <c r="D74" s="295"/>
      <c r="E74" s="295">
        <f>SUM(E17:E73)</f>
        <v>1864624.9999999998</v>
      </c>
      <c r="F74" s="295"/>
      <c r="G74" s="295">
        <f>SUM(G17:G73)</f>
        <v>5431358.0648955116</v>
      </c>
      <c r="H74" s="295">
        <f>SUM(H17:H73)</f>
        <v>5431358.0648955116</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8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223912.8746819201</v>
      </c>
      <c r="N88" s="545">
        <f>IF(J93&lt;D11,0,VLOOKUP(J93,C17:O73,11))</f>
        <v>223912.8746819201</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245475.24451500125</v>
      </c>
      <c r="N89" s="549">
        <f>IF(J93&lt;D11,0,VLOOKUP(J93,C100:P155,7))</f>
        <v>245475.24451500125</v>
      </c>
      <c r="O89" s="550">
        <f>+N89-M89</f>
        <v>0</v>
      </c>
      <c r="P89" s="244"/>
      <c r="Q89" s="244"/>
      <c r="R89" s="244"/>
      <c r="S89" s="244"/>
      <c r="T89" s="244"/>
      <c r="U89" s="244"/>
    </row>
    <row r="90" spans="1:21" ht="13.5" thickBot="1">
      <c r="C90" s="455" t="s">
        <v>82</v>
      </c>
      <c r="D90" s="551" t="str">
        <f>+D7</f>
        <v>Coweta 69 kV Capacitor</v>
      </c>
      <c r="E90" s="244"/>
      <c r="F90" s="244"/>
      <c r="G90" s="244"/>
      <c r="H90" s="244"/>
      <c r="I90" s="326"/>
      <c r="J90" s="326"/>
      <c r="K90" s="552"/>
      <c r="L90" s="553" t="s">
        <v>135</v>
      </c>
      <c r="M90" s="554">
        <f>+M89-M88</f>
        <v>21562.369833081146</v>
      </c>
      <c r="N90" s="554">
        <f>+N89-N88</f>
        <v>21562.369833081146</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TP2009089</v>
      </c>
      <c r="E92" s="559"/>
      <c r="F92" s="559"/>
      <c r="G92" s="559"/>
      <c r="H92" s="559"/>
      <c r="I92" s="559"/>
      <c r="J92" s="559"/>
      <c r="K92" s="561"/>
      <c r="P92" s="469"/>
      <c r="Q92" s="244"/>
      <c r="R92" s="244"/>
      <c r="S92" s="244"/>
      <c r="T92" s="244"/>
      <c r="U92" s="244"/>
    </row>
    <row r="93" spans="1:21" ht="13">
      <c r="C93" s="473" t="s">
        <v>49</v>
      </c>
      <c r="D93" s="599">
        <f>IF(D11=I10,0,D10)</f>
        <v>1864625</v>
      </c>
      <c r="E93" s="249" t="s">
        <v>84</v>
      </c>
      <c r="H93" s="409"/>
      <c r="I93" s="409"/>
      <c r="J93" s="472">
        <f>+'OKT.WS.G.BPU.ATRR.True-up'!M16</f>
        <v>2023</v>
      </c>
      <c r="K93" s="468"/>
      <c r="L93" s="295" t="s">
        <v>85</v>
      </c>
      <c r="P93" s="279"/>
      <c r="Q93" s="244"/>
      <c r="R93" s="244"/>
      <c r="S93" s="244"/>
      <c r="T93" s="244"/>
      <c r="U93" s="244"/>
    </row>
    <row r="94" spans="1:21" ht="12.5">
      <c r="C94" s="473" t="s">
        <v>52</v>
      </c>
      <c r="D94" s="562">
        <f>IF(D11=I10,"",D11)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6</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98138.15789473684</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2014</v>
      </c>
      <c r="D100" s="613">
        <v>0</v>
      </c>
      <c r="E100" s="614">
        <v>16074.353534482758</v>
      </c>
      <c r="F100" s="615">
        <v>1848550.6564655174</v>
      </c>
      <c r="G100" s="616">
        <v>924275.32823275868</v>
      </c>
      <c r="H100" s="616">
        <v>115474.09051785123</v>
      </c>
      <c r="I100" s="616">
        <v>115474.09051785123</v>
      </c>
      <c r="J100" s="505">
        <v>0</v>
      </c>
      <c r="K100" s="505"/>
      <c r="L100" s="507">
        <f t="shared" ref="L100:L105" si="24">H100</f>
        <v>115474.09051785123</v>
      </c>
      <c r="M100" s="505">
        <f t="shared" ref="M100:M105" si="25">IF(L100&lt;&gt;0,+H100-L100,0)</f>
        <v>0</v>
      </c>
      <c r="N100" s="507">
        <f t="shared" ref="N100:N105" si="26">I100</f>
        <v>115474.09051785123</v>
      </c>
      <c r="O100" s="505">
        <f>IF(N100&lt;&gt;0,+I100-N100,0)</f>
        <v>0</v>
      </c>
      <c r="P100" s="505">
        <f>+O100-M100</f>
        <v>0</v>
      </c>
      <c r="Q100" s="244"/>
      <c r="R100" s="244"/>
      <c r="S100" s="244"/>
      <c r="T100" s="244"/>
      <c r="U100" s="244"/>
    </row>
    <row r="101" spans="1:21" ht="12.5">
      <c r="C101" s="496">
        <f>IF(D94="","-",+C100+1)</f>
        <v>2015</v>
      </c>
      <c r="D101" s="506">
        <v>1848550.6564655174</v>
      </c>
      <c r="E101" s="499">
        <v>38846.354375000003</v>
      </c>
      <c r="F101" s="506">
        <v>1809704.3020905172</v>
      </c>
      <c r="G101" s="499">
        <v>1829127.4792780173</v>
      </c>
      <c r="H101" s="500">
        <v>242482.07146648291</v>
      </c>
      <c r="I101" s="500">
        <v>242482.07146648291</v>
      </c>
      <c r="J101" s="500">
        <v>0</v>
      </c>
      <c r="K101" s="505"/>
      <c r="L101" s="507">
        <f t="shared" si="24"/>
        <v>242482.07146648291</v>
      </c>
      <c r="M101" s="505">
        <f t="shared" si="25"/>
        <v>0</v>
      </c>
      <c r="N101" s="507">
        <f t="shared" si="26"/>
        <v>242482.07146648291</v>
      </c>
      <c r="O101" s="505">
        <f t="shared" ref="O101:O131" si="27">IF(N101&lt;&gt;0,+I101-N101,0)</f>
        <v>0</v>
      </c>
      <c r="P101" s="505">
        <f t="shared" ref="P101:P131" si="28">+O101-M101</f>
        <v>0</v>
      </c>
      <c r="Q101" s="244"/>
      <c r="R101" s="244"/>
      <c r="S101" s="244"/>
      <c r="T101" s="244"/>
      <c r="U101" s="244"/>
    </row>
    <row r="102" spans="1:21" ht="12.5">
      <c r="C102" s="496">
        <f>IF(D94="","-",+C101+1)</f>
        <v>2016</v>
      </c>
      <c r="D102" s="506">
        <v>1809704.3020905172</v>
      </c>
      <c r="E102" s="499">
        <v>36561.274705882352</v>
      </c>
      <c r="F102" s="506">
        <v>1773143.0273846348</v>
      </c>
      <c r="G102" s="499">
        <v>1791423.6647375762</v>
      </c>
      <c r="H102" s="500">
        <v>230696.88883644732</v>
      </c>
      <c r="I102" s="500">
        <v>230696.88883644732</v>
      </c>
      <c r="J102" s="505">
        <f t="shared" ref="J102:J155" si="29">+I102-H102</f>
        <v>0</v>
      </c>
      <c r="K102" s="505"/>
      <c r="L102" s="507">
        <f t="shared" si="24"/>
        <v>230696.88883644732</v>
      </c>
      <c r="M102" s="505">
        <f t="shared" si="25"/>
        <v>0</v>
      </c>
      <c r="N102" s="507">
        <f t="shared" si="26"/>
        <v>230696.88883644732</v>
      </c>
      <c r="O102" s="505">
        <f>IF(N102&lt;&gt;0,+I102-N102,0)</f>
        <v>0</v>
      </c>
      <c r="P102" s="505">
        <f>+O102-M102</f>
        <v>0</v>
      </c>
      <c r="Q102" s="244"/>
      <c r="R102" s="244"/>
      <c r="S102" s="244"/>
      <c r="T102" s="244"/>
      <c r="U102" s="244"/>
    </row>
    <row r="103" spans="1:21" ht="12.5">
      <c r="C103" s="496">
        <f>IF(D94="","-",+C102+1)</f>
        <v>2017</v>
      </c>
      <c r="D103" s="506">
        <v>1773143.0273846348</v>
      </c>
      <c r="E103" s="499">
        <v>46615.625249999997</v>
      </c>
      <c r="F103" s="506">
        <v>1726527.4021346348</v>
      </c>
      <c r="G103" s="499">
        <v>1749835.2147596348</v>
      </c>
      <c r="H103" s="500">
        <v>251934.05240160052</v>
      </c>
      <c r="I103" s="500">
        <v>251934.05240160052</v>
      </c>
      <c r="J103" s="505">
        <v>0</v>
      </c>
      <c r="K103" s="505"/>
      <c r="L103" s="507">
        <f t="shared" si="24"/>
        <v>251934.05240160052</v>
      </c>
      <c r="M103" s="505">
        <f t="shared" si="25"/>
        <v>0</v>
      </c>
      <c r="N103" s="507">
        <f t="shared" si="26"/>
        <v>251934.05240160052</v>
      </c>
      <c r="O103" s="505">
        <f>IF(N103&lt;&gt;0,+I103-N103,0)</f>
        <v>0</v>
      </c>
      <c r="P103" s="505">
        <f>+O103-M103</f>
        <v>0</v>
      </c>
      <c r="Q103" s="244"/>
      <c r="R103" s="244"/>
      <c r="S103" s="244"/>
      <c r="T103" s="244"/>
      <c r="U103" s="244"/>
    </row>
    <row r="104" spans="1:21" ht="12.5">
      <c r="C104" s="496">
        <f>IF(D94="","-",+C103+1)</f>
        <v>2018</v>
      </c>
      <c r="D104" s="506">
        <v>1726527.4021346348</v>
      </c>
      <c r="E104" s="499">
        <v>51795.139166666668</v>
      </c>
      <c r="F104" s="506">
        <v>1674732.2629679681</v>
      </c>
      <c r="G104" s="499">
        <v>1700629.8325513015</v>
      </c>
      <c r="H104" s="500">
        <v>231317.7893017451</v>
      </c>
      <c r="I104" s="500">
        <v>231317.7893017451</v>
      </c>
      <c r="J104" s="505">
        <f t="shared" si="29"/>
        <v>0</v>
      </c>
      <c r="K104" s="505"/>
      <c r="L104" s="507">
        <f t="shared" si="24"/>
        <v>231317.7893017451</v>
      </c>
      <c r="M104" s="505">
        <f t="shared" si="25"/>
        <v>0</v>
      </c>
      <c r="N104" s="507">
        <f t="shared" si="26"/>
        <v>231317.7893017451</v>
      </c>
      <c r="O104" s="505">
        <f>IF(N104&lt;&gt;0,+I104-N104,0)</f>
        <v>0</v>
      </c>
      <c r="P104" s="505">
        <f>+O104-M104</f>
        <v>0</v>
      </c>
      <c r="Q104" s="244"/>
      <c r="R104" s="244"/>
      <c r="S104" s="244"/>
      <c r="T104" s="244"/>
      <c r="U104" s="244"/>
    </row>
    <row r="105" spans="1:21" ht="12.5">
      <c r="C105" s="496">
        <f>IF(D94="","-",+C104+1)</f>
        <v>2019</v>
      </c>
      <c r="D105" s="506">
        <v>1674732.2629679681</v>
      </c>
      <c r="E105" s="499">
        <v>51795.139166666668</v>
      </c>
      <c r="F105" s="506">
        <v>1622937.1238013015</v>
      </c>
      <c r="G105" s="499">
        <v>1648834.6933846348</v>
      </c>
      <c r="H105" s="500">
        <v>225850.16755988394</v>
      </c>
      <c r="I105" s="500">
        <v>225850.16755988394</v>
      </c>
      <c r="J105" s="505">
        <f t="shared" si="29"/>
        <v>0</v>
      </c>
      <c r="K105" s="505"/>
      <c r="L105" s="507">
        <f t="shared" si="24"/>
        <v>225850.16755988394</v>
      </c>
      <c r="M105" s="505">
        <f t="shared" si="25"/>
        <v>0</v>
      </c>
      <c r="N105" s="507">
        <f t="shared" si="26"/>
        <v>225850.16755988394</v>
      </c>
      <c r="O105" s="505">
        <f>IF(N105&lt;&gt;0,+I105-N105,0)</f>
        <v>0</v>
      </c>
      <c r="P105" s="505">
        <f t="shared" si="28"/>
        <v>0</v>
      </c>
      <c r="Q105" s="244"/>
      <c r="R105" s="244"/>
      <c r="S105" s="244"/>
      <c r="T105" s="244"/>
      <c r="U105" s="244"/>
    </row>
    <row r="106" spans="1:21" ht="12.5">
      <c r="C106" s="496">
        <f>IF(D94="","-",+C105+1)</f>
        <v>2020</v>
      </c>
      <c r="D106" s="506">
        <v>1622937.1238013015</v>
      </c>
      <c r="E106" s="499">
        <v>66593.750357142853</v>
      </c>
      <c r="F106" s="506">
        <v>1556343.3734441586</v>
      </c>
      <c r="G106" s="499">
        <v>1589640.2486227299</v>
      </c>
      <c r="H106" s="500">
        <v>235752.93131710603</v>
      </c>
      <c r="I106" s="500">
        <v>235752.93131710603</v>
      </c>
      <c r="J106" s="505">
        <f t="shared" si="29"/>
        <v>0</v>
      </c>
      <c r="K106" s="505"/>
      <c r="L106" s="507">
        <f t="shared" ref="L106" si="30">H106</f>
        <v>235752.93131710603</v>
      </c>
      <c r="M106" s="505">
        <f t="shared" ref="M106" si="31">IF(L106&lt;&gt;0,+H106-L106,0)</f>
        <v>0</v>
      </c>
      <c r="N106" s="507">
        <f t="shared" ref="N106" si="32">I106</f>
        <v>235752.93131710603</v>
      </c>
      <c r="O106" s="505">
        <f t="shared" si="27"/>
        <v>0</v>
      </c>
      <c r="P106" s="505">
        <f t="shared" si="28"/>
        <v>0</v>
      </c>
      <c r="Q106" s="244"/>
      <c r="R106" s="244"/>
      <c r="S106" s="244"/>
      <c r="T106" s="244"/>
      <c r="U106" s="244"/>
    </row>
    <row r="107" spans="1:21" ht="12.5">
      <c r="C107" s="496">
        <f>IF(D94="","-",+C106+1)</f>
        <v>2021</v>
      </c>
      <c r="D107" s="506">
        <v>1556343.3734441586</v>
      </c>
      <c r="E107" s="499">
        <v>74585.000400000004</v>
      </c>
      <c r="F107" s="506">
        <v>1481758.3730441586</v>
      </c>
      <c r="G107" s="499">
        <v>1519050.8732441585</v>
      </c>
      <c r="H107" s="500">
        <v>253775.29946447536</v>
      </c>
      <c r="I107" s="500">
        <v>253775.29946447536</v>
      </c>
      <c r="J107" s="505">
        <f t="shared" si="29"/>
        <v>0</v>
      </c>
      <c r="K107" s="505"/>
      <c r="L107" s="507">
        <f t="shared" ref="L107" si="33">H107</f>
        <v>253775.29946447536</v>
      </c>
      <c r="M107" s="505">
        <f t="shared" ref="M107" si="34">IF(L107&lt;&gt;0,+H107-L107,0)</f>
        <v>0</v>
      </c>
      <c r="N107" s="507">
        <f t="shared" ref="N107" si="35">I107</f>
        <v>253775.29946447536</v>
      </c>
      <c r="O107" s="505">
        <f t="shared" si="27"/>
        <v>0</v>
      </c>
      <c r="P107" s="505">
        <f t="shared" si="28"/>
        <v>0</v>
      </c>
      <c r="Q107" s="244"/>
      <c r="R107" s="244"/>
      <c r="S107" s="244"/>
      <c r="T107" s="244"/>
      <c r="U107" s="244"/>
    </row>
    <row r="108" spans="1:21" ht="12.5">
      <c r="C108" s="496">
        <f>IF(D94="","-",+C107+1)</f>
        <v>2022</v>
      </c>
      <c r="D108" s="506">
        <v>1481758.3730441586</v>
      </c>
      <c r="E108" s="499">
        <v>88791.667142857143</v>
      </c>
      <c r="F108" s="506">
        <v>1392966.7059013015</v>
      </c>
      <c r="G108" s="499">
        <v>1437362.5394727299</v>
      </c>
      <c r="H108" s="500">
        <v>254039.51184910274</v>
      </c>
      <c r="I108" s="500">
        <v>254039.51184910274</v>
      </c>
      <c r="J108" s="505">
        <f t="shared" si="29"/>
        <v>0</v>
      </c>
      <c r="K108" s="505"/>
      <c r="L108" s="507">
        <f t="shared" ref="L108" si="36">H108</f>
        <v>254039.51184910274</v>
      </c>
      <c r="M108" s="505">
        <f t="shared" ref="M108" si="37">IF(L108&lt;&gt;0,+H108-L108,0)</f>
        <v>0</v>
      </c>
      <c r="N108" s="507">
        <f t="shared" ref="N108" si="38">I108</f>
        <v>254039.51184910274</v>
      </c>
      <c r="O108" s="505">
        <f t="shared" ref="O108" si="39">IF(N108&lt;&gt;0,+I108-N108,0)</f>
        <v>0</v>
      </c>
      <c r="P108" s="505">
        <f t="shared" ref="P108" si="40">+O108-M108</f>
        <v>0</v>
      </c>
      <c r="Q108" s="244"/>
      <c r="R108" s="244"/>
      <c r="S108" s="244"/>
      <c r="T108" s="244"/>
      <c r="U108" s="244"/>
    </row>
    <row r="109" spans="1:21" ht="12.5">
      <c r="C109" s="496">
        <f>IF(D94="","-",+C108+1)</f>
        <v>2023</v>
      </c>
      <c r="D109" s="350">
        <f>IF(F108+SUM(E$100:E108)=D$93,F108,D$93-SUM(E$100:E108))</f>
        <v>1392966.6959013015</v>
      </c>
      <c r="E109" s="510">
        <f t="shared" ref="E109:E155" si="41">IF(+$J$97&lt;F108,$J$97,D109)</f>
        <v>98138.15789473684</v>
      </c>
      <c r="F109" s="511">
        <f t="shared" ref="F109:F155" si="42">+D109-E109</f>
        <v>1294828.5380065646</v>
      </c>
      <c r="G109" s="511">
        <f t="shared" ref="G109:G155" si="43">+(F109+D109)/2</f>
        <v>1343897.6169539331</v>
      </c>
      <c r="H109" s="645">
        <f t="shared" ref="H109:H155" si="44">(D109+F109)/2*J$95+E109</f>
        <v>245475.24451500125</v>
      </c>
      <c r="I109" s="573">
        <f t="shared" ref="I109:I155" si="45">+J$96*G109+E109</f>
        <v>245475.24451500125</v>
      </c>
      <c r="J109" s="505">
        <f t="shared" si="29"/>
        <v>0</v>
      </c>
      <c r="K109" s="505"/>
      <c r="L109" s="513"/>
      <c r="M109" s="505">
        <f t="shared" ref="M109:M131" si="46">IF(L109&lt;&gt;0,+H109-L109,0)</f>
        <v>0</v>
      </c>
      <c r="N109" s="513"/>
      <c r="O109" s="505">
        <f t="shared" si="27"/>
        <v>0</v>
      </c>
      <c r="P109" s="505">
        <f t="shared" si="28"/>
        <v>0</v>
      </c>
      <c r="Q109" s="244"/>
      <c r="R109" s="244"/>
      <c r="S109" s="244"/>
      <c r="T109" s="244"/>
      <c r="U109" s="244"/>
    </row>
    <row r="110" spans="1:21" ht="12.5">
      <c r="C110" s="496">
        <f>IF(D94="","-",+C109+1)</f>
        <v>2024</v>
      </c>
      <c r="D110" s="350">
        <f>IF(F109+SUM(E$100:E109)=D$93,F109,D$93-SUM(E$100:E109))</f>
        <v>1294828.5380065646</v>
      </c>
      <c r="E110" s="510">
        <f t="shared" si="41"/>
        <v>98138.15789473684</v>
      </c>
      <c r="F110" s="511">
        <f t="shared" si="42"/>
        <v>1196690.3801118277</v>
      </c>
      <c r="G110" s="511">
        <f t="shared" si="43"/>
        <v>1245759.4590591961</v>
      </c>
      <c r="H110" s="645">
        <f t="shared" si="44"/>
        <v>234715.94999131304</v>
      </c>
      <c r="I110" s="573">
        <f t="shared" si="45"/>
        <v>234715.94999131304</v>
      </c>
      <c r="J110" s="505">
        <f t="shared" si="29"/>
        <v>0</v>
      </c>
      <c r="K110" s="505"/>
      <c r="L110" s="513"/>
      <c r="M110" s="505">
        <f t="shared" si="46"/>
        <v>0</v>
      </c>
      <c r="N110" s="513"/>
      <c r="O110" s="505">
        <f t="shared" si="27"/>
        <v>0</v>
      </c>
      <c r="P110" s="505">
        <f t="shared" si="28"/>
        <v>0</v>
      </c>
      <c r="Q110" s="244"/>
      <c r="R110" s="244"/>
      <c r="S110" s="244"/>
      <c r="T110" s="244"/>
      <c r="U110" s="244"/>
    </row>
    <row r="111" spans="1:21" ht="12.5">
      <c r="C111" s="496">
        <f>IF(D94="","-",+C110+1)</f>
        <v>2025</v>
      </c>
      <c r="D111" s="350">
        <f>IF(F110+SUM(E$100:E110)=D$93,F110,D$93-SUM(E$100:E110))</f>
        <v>1196690.3801118277</v>
      </c>
      <c r="E111" s="510">
        <f t="shared" si="41"/>
        <v>98138.15789473684</v>
      </c>
      <c r="F111" s="511">
        <f t="shared" si="42"/>
        <v>1098552.2222170909</v>
      </c>
      <c r="G111" s="511">
        <f t="shared" si="43"/>
        <v>1147621.3011644594</v>
      </c>
      <c r="H111" s="645">
        <f t="shared" si="44"/>
        <v>223956.65546762489</v>
      </c>
      <c r="I111" s="573">
        <f t="shared" si="45"/>
        <v>223956.65546762489</v>
      </c>
      <c r="J111" s="505">
        <f t="shared" si="29"/>
        <v>0</v>
      </c>
      <c r="K111" s="505"/>
      <c r="L111" s="513"/>
      <c r="M111" s="505">
        <f t="shared" si="46"/>
        <v>0</v>
      </c>
      <c r="N111" s="513"/>
      <c r="O111" s="505">
        <f t="shared" si="27"/>
        <v>0</v>
      </c>
      <c r="P111" s="505">
        <f t="shared" si="28"/>
        <v>0</v>
      </c>
      <c r="Q111" s="244"/>
      <c r="R111" s="244"/>
      <c r="S111" s="244"/>
      <c r="T111" s="244"/>
      <c r="U111" s="244"/>
    </row>
    <row r="112" spans="1:21" ht="12.5">
      <c r="C112" s="496">
        <f>IF(D94="","-",+C111+1)</f>
        <v>2026</v>
      </c>
      <c r="D112" s="350">
        <f>IF(F111+SUM(E$100:E111)=D$93,F111,D$93-SUM(E$100:E111))</f>
        <v>1098552.2222170909</v>
      </c>
      <c r="E112" s="510">
        <f t="shared" si="41"/>
        <v>98138.15789473684</v>
      </c>
      <c r="F112" s="511">
        <f t="shared" si="42"/>
        <v>1000414.064322354</v>
      </c>
      <c r="G112" s="511">
        <f t="shared" si="43"/>
        <v>1049483.1432697223</v>
      </c>
      <c r="H112" s="645">
        <f t="shared" si="44"/>
        <v>213197.36094393671</v>
      </c>
      <c r="I112" s="573">
        <f t="shared" si="45"/>
        <v>213197.36094393671</v>
      </c>
      <c r="J112" s="505">
        <f t="shared" si="29"/>
        <v>0</v>
      </c>
      <c r="K112" s="505"/>
      <c r="L112" s="513"/>
      <c r="M112" s="505">
        <f t="shared" si="46"/>
        <v>0</v>
      </c>
      <c r="N112" s="513"/>
      <c r="O112" s="505">
        <f t="shared" si="27"/>
        <v>0</v>
      </c>
      <c r="P112" s="505">
        <f t="shared" si="28"/>
        <v>0</v>
      </c>
      <c r="Q112" s="244"/>
      <c r="R112" s="244"/>
      <c r="S112" s="244"/>
      <c r="T112" s="244"/>
      <c r="U112" s="244"/>
    </row>
    <row r="113" spans="3:21" ht="12.5">
      <c r="C113" s="496">
        <f>IF(D94="","-",+C112+1)</f>
        <v>2027</v>
      </c>
      <c r="D113" s="350">
        <f>IF(F112+SUM(E$100:E112)=D$93,F112,D$93-SUM(E$100:E112))</f>
        <v>1000414.064322354</v>
      </c>
      <c r="E113" s="510">
        <f t="shared" si="41"/>
        <v>98138.15789473684</v>
      </c>
      <c r="F113" s="511">
        <f t="shared" si="42"/>
        <v>902275.90642761718</v>
      </c>
      <c r="G113" s="511">
        <f t="shared" si="43"/>
        <v>951344.98537498561</v>
      </c>
      <c r="H113" s="645">
        <f t="shared" si="44"/>
        <v>202438.06642024856</v>
      </c>
      <c r="I113" s="573">
        <f t="shared" si="45"/>
        <v>202438.06642024856</v>
      </c>
      <c r="J113" s="505">
        <f t="shared" si="29"/>
        <v>0</v>
      </c>
      <c r="K113" s="505"/>
      <c r="L113" s="513"/>
      <c r="M113" s="505">
        <f t="shared" si="46"/>
        <v>0</v>
      </c>
      <c r="N113" s="513"/>
      <c r="O113" s="505">
        <f t="shared" si="27"/>
        <v>0</v>
      </c>
      <c r="P113" s="505">
        <f t="shared" si="28"/>
        <v>0</v>
      </c>
      <c r="Q113" s="244"/>
      <c r="R113" s="244"/>
      <c r="S113" s="244"/>
      <c r="T113" s="244"/>
      <c r="U113" s="244"/>
    </row>
    <row r="114" spans="3:21" ht="12.5">
      <c r="C114" s="496">
        <f>IF(D94="","-",+C113+1)</f>
        <v>2028</v>
      </c>
      <c r="D114" s="350">
        <f>IF(F113+SUM(E$100:E113)=D$93,F113,D$93-SUM(E$100:E113))</f>
        <v>902275.90642761718</v>
      </c>
      <c r="E114" s="510">
        <f t="shared" si="41"/>
        <v>98138.15789473684</v>
      </c>
      <c r="F114" s="511">
        <f t="shared" si="42"/>
        <v>804137.74853288033</v>
      </c>
      <c r="G114" s="511">
        <f t="shared" si="43"/>
        <v>853206.82748024876</v>
      </c>
      <c r="H114" s="645">
        <f t="shared" si="44"/>
        <v>191678.77189656039</v>
      </c>
      <c r="I114" s="573">
        <f t="shared" si="45"/>
        <v>191678.77189656039</v>
      </c>
      <c r="J114" s="505">
        <f t="shared" si="29"/>
        <v>0</v>
      </c>
      <c r="K114" s="505"/>
      <c r="L114" s="513"/>
      <c r="M114" s="505">
        <f t="shared" si="46"/>
        <v>0</v>
      </c>
      <c r="N114" s="513"/>
      <c r="O114" s="505">
        <f t="shared" si="27"/>
        <v>0</v>
      </c>
      <c r="P114" s="505">
        <f t="shared" si="28"/>
        <v>0</v>
      </c>
      <c r="Q114" s="244"/>
      <c r="R114" s="244"/>
      <c r="S114" s="244"/>
      <c r="T114" s="244"/>
      <c r="U114" s="244"/>
    </row>
    <row r="115" spans="3:21" ht="12.5">
      <c r="C115" s="496">
        <f>IF(D94="","-",+C114+1)</f>
        <v>2029</v>
      </c>
      <c r="D115" s="350">
        <f>IF(F114+SUM(E$100:E114)=D$93,F114,D$93-SUM(E$100:E114))</f>
        <v>804137.74853288033</v>
      </c>
      <c r="E115" s="510">
        <f t="shared" si="41"/>
        <v>98138.15789473684</v>
      </c>
      <c r="F115" s="511">
        <f t="shared" si="42"/>
        <v>705999.59063814348</v>
      </c>
      <c r="G115" s="511">
        <f t="shared" si="43"/>
        <v>755068.6695855119</v>
      </c>
      <c r="H115" s="645">
        <f t="shared" si="44"/>
        <v>180919.47737287224</v>
      </c>
      <c r="I115" s="573">
        <f t="shared" si="45"/>
        <v>180919.47737287224</v>
      </c>
      <c r="J115" s="505">
        <f t="shared" si="29"/>
        <v>0</v>
      </c>
      <c r="K115" s="505"/>
      <c r="L115" s="513"/>
      <c r="M115" s="505">
        <f t="shared" si="46"/>
        <v>0</v>
      </c>
      <c r="N115" s="513"/>
      <c r="O115" s="505">
        <f t="shared" si="27"/>
        <v>0</v>
      </c>
      <c r="P115" s="505">
        <f t="shared" si="28"/>
        <v>0</v>
      </c>
      <c r="Q115" s="244"/>
      <c r="R115" s="244"/>
      <c r="S115" s="244"/>
      <c r="T115" s="244"/>
      <c r="U115" s="244"/>
    </row>
    <row r="116" spans="3:21" ht="12.5">
      <c r="C116" s="496">
        <f>IF(D94="","-",+C115+1)</f>
        <v>2030</v>
      </c>
      <c r="D116" s="350">
        <f>IF(F115+SUM(E$100:E115)=D$93,F115,D$93-SUM(E$100:E115))</f>
        <v>705999.59063814348</v>
      </c>
      <c r="E116" s="510">
        <f t="shared" si="41"/>
        <v>98138.15789473684</v>
      </c>
      <c r="F116" s="511">
        <f t="shared" si="42"/>
        <v>607861.43274340662</v>
      </c>
      <c r="G116" s="511">
        <f t="shared" si="43"/>
        <v>656930.51169077505</v>
      </c>
      <c r="H116" s="645">
        <f t="shared" si="44"/>
        <v>170160.18284918409</v>
      </c>
      <c r="I116" s="573">
        <f t="shared" si="45"/>
        <v>170160.18284918409</v>
      </c>
      <c r="J116" s="505">
        <f t="shared" si="29"/>
        <v>0</v>
      </c>
      <c r="K116" s="505"/>
      <c r="L116" s="513"/>
      <c r="M116" s="505">
        <f t="shared" si="46"/>
        <v>0</v>
      </c>
      <c r="N116" s="513"/>
      <c r="O116" s="505">
        <f t="shared" si="27"/>
        <v>0</v>
      </c>
      <c r="P116" s="505">
        <f t="shared" si="28"/>
        <v>0</v>
      </c>
      <c r="Q116" s="244"/>
      <c r="R116" s="244"/>
      <c r="S116" s="244"/>
      <c r="T116" s="244"/>
      <c r="U116" s="244"/>
    </row>
    <row r="117" spans="3:21" ht="12.5">
      <c r="C117" s="496">
        <f>IF(D94="","-",+C116+1)</f>
        <v>2031</v>
      </c>
      <c r="D117" s="350">
        <f>IF(F116+SUM(E$100:E116)=D$93,F116,D$93-SUM(E$100:E116))</f>
        <v>607861.43274340662</v>
      </c>
      <c r="E117" s="510">
        <f t="shared" si="41"/>
        <v>98138.15789473684</v>
      </c>
      <c r="F117" s="511">
        <f t="shared" si="42"/>
        <v>509723.27484866977</v>
      </c>
      <c r="G117" s="511">
        <f t="shared" si="43"/>
        <v>558792.35379603819</v>
      </c>
      <c r="H117" s="645">
        <f t="shared" si="44"/>
        <v>159400.88832549591</v>
      </c>
      <c r="I117" s="573">
        <f t="shared" si="45"/>
        <v>159400.88832549591</v>
      </c>
      <c r="J117" s="505">
        <f t="shared" si="29"/>
        <v>0</v>
      </c>
      <c r="K117" s="505"/>
      <c r="L117" s="513"/>
      <c r="M117" s="505">
        <f t="shared" si="46"/>
        <v>0</v>
      </c>
      <c r="N117" s="513"/>
      <c r="O117" s="505">
        <f t="shared" si="27"/>
        <v>0</v>
      </c>
      <c r="P117" s="505">
        <f t="shared" si="28"/>
        <v>0</v>
      </c>
      <c r="Q117" s="244"/>
      <c r="R117" s="244"/>
      <c r="S117" s="244"/>
      <c r="T117" s="244"/>
      <c r="U117" s="244"/>
    </row>
    <row r="118" spans="3:21" ht="12.5">
      <c r="C118" s="496">
        <f>IF(D94="","-",+C117+1)</f>
        <v>2032</v>
      </c>
      <c r="D118" s="350">
        <f>IF(F117+SUM(E$100:E117)=D$93,F117,D$93-SUM(E$100:E117))</f>
        <v>509723.27484866977</v>
      </c>
      <c r="E118" s="510">
        <f t="shared" si="41"/>
        <v>98138.15789473684</v>
      </c>
      <c r="F118" s="511">
        <f t="shared" si="42"/>
        <v>411585.11695393291</v>
      </c>
      <c r="G118" s="511">
        <f t="shared" si="43"/>
        <v>460654.19590130134</v>
      </c>
      <c r="H118" s="645">
        <f t="shared" si="44"/>
        <v>148641.59380180773</v>
      </c>
      <c r="I118" s="573">
        <f t="shared" si="45"/>
        <v>148641.59380180773</v>
      </c>
      <c r="J118" s="505">
        <f t="shared" si="29"/>
        <v>0</v>
      </c>
      <c r="K118" s="505"/>
      <c r="L118" s="513"/>
      <c r="M118" s="505">
        <f t="shared" si="46"/>
        <v>0</v>
      </c>
      <c r="N118" s="513"/>
      <c r="O118" s="505">
        <f t="shared" si="27"/>
        <v>0</v>
      </c>
      <c r="P118" s="505">
        <f t="shared" si="28"/>
        <v>0</v>
      </c>
      <c r="Q118" s="244"/>
      <c r="R118" s="244"/>
      <c r="S118" s="244"/>
      <c r="T118" s="244"/>
      <c r="U118" s="244"/>
    </row>
    <row r="119" spans="3:21" ht="12.5">
      <c r="C119" s="496">
        <f>IF(D94="","-",+C118+1)</f>
        <v>2033</v>
      </c>
      <c r="D119" s="350">
        <f>IF(F118+SUM(E$100:E118)=D$93,F118,D$93-SUM(E$100:E118))</f>
        <v>411585.11695393291</v>
      </c>
      <c r="E119" s="510">
        <f t="shared" si="41"/>
        <v>98138.15789473684</v>
      </c>
      <c r="F119" s="511">
        <f t="shared" si="42"/>
        <v>313446.95905919606</v>
      </c>
      <c r="G119" s="511">
        <f t="shared" si="43"/>
        <v>362516.03800656449</v>
      </c>
      <c r="H119" s="645">
        <f t="shared" si="44"/>
        <v>137882.29927811958</v>
      </c>
      <c r="I119" s="573">
        <f t="shared" si="45"/>
        <v>137882.29927811958</v>
      </c>
      <c r="J119" s="505">
        <f t="shared" si="29"/>
        <v>0</v>
      </c>
      <c r="K119" s="505"/>
      <c r="L119" s="513"/>
      <c r="M119" s="505">
        <f t="shared" si="46"/>
        <v>0</v>
      </c>
      <c r="N119" s="513"/>
      <c r="O119" s="505">
        <f t="shared" si="27"/>
        <v>0</v>
      </c>
      <c r="P119" s="505">
        <f t="shared" si="28"/>
        <v>0</v>
      </c>
      <c r="Q119" s="244"/>
      <c r="R119" s="244"/>
      <c r="S119" s="244"/>
      <c r="T119" s="244"/>
      <c r="U119" s="244"/>
    </row>
    <row r="120" spans="3:21" ht="12.5">
      <c r="C120" s="496">
        <f>IF(D94="","-",+C119+1)</f>
        <v>2034</v>
      </c>
      <c r="D120" s="350">
        <f>IF(F119+SUM(E$100:E119)=D$93,F119,D$93-SUM(E$100:E119))</f>
        <v>313446.95905919606</v>
      </c>
      <c r="E120" s="510">
        <f t="shared" si="41"/>
        <v>98138.15789473684</v>
      </c>
      <c r="F120" s="511">
        <f t="shared" si="42"/>
        <v>215308.8011644592</v>
      </c>
      <c r="G120" s="511">
        <f t="shared" si="43"/>
        <v>264377.88011182763</v>
      </c>
      <c r="H120" s="645">
        <f t="shared" si="44"/>
        <v>127123.0047544314</v>
      </c>
      <c r="I120" s="573">
        <f t="shared" si="45"/>
        <v>127123.0047544314</v>
      </c>
      <c r="J120" s="505">
        <f t="shared" si="29"/>
        <v>0</v>
      </c>
      <c r="K120" s="505"/>
      <c r="L120" s="513"/>
      <c r="M120" s="505">
        <f t="shared" si="46"/>
        <v>0</v>
      </c>
      <c r="N120" s="513"/>
      <c r="O120" s="505">
        <f t="shared" si="27"/>
        <v>0</v>
      </c>
      <c r="P120" s="505">
        <f t="shared" si="28"/>
        <v>0</v>
      </c>
      <c r="Q120" s="244"/>
      <c r="R120" s="244"/>
      <c r="S120" s="244"/>
      <c r="T120" s="244"/>
      <c r="U120" s="244"/>
    </row>
    <row r="121" spans="3:21" ht="12.5">
      <c r="C121" s="496">
        <f>IF(D94="","-",+C120+1)</f>
        <v>2035</v>
      </c>
      <c r="D121" s="350">
        <f>IF(F120+SUM(E$100:E120)=D$93,F120,D$93-SUM(E$100:E120))</f>
        <v>215308.8011644592</v>
      </c>
      <c r="E121" s="510">
        <f t="shared" si="41"/>
        <v>98138.15789473684</v>
      </c>
      <c r="F121" s="511">
        <f t="shared" si="42"/>
        <v>117170.64326972236</v>
      </c>
      <c r="G121" s="511">
        <f t="shared" si="43"/>
        <v>166239.72221709078</v>
      </c>
      <c r="H121" s="645">
        <f t="shared" si="44"/>
        <v>116363.71023074325</v>
      </c>
      <c r="I121" s="573">
        <f t="shared" si="45"/>
        <v>116363.71023074325</v>
      </c>
      <c r="J121" s="505">
        <f t="shared" si="29"/>
        <v>0</v>
      </c>
      <c r="K121" s="505"/>
      <c r="L121" s="513"/>
      <c r="M121" s="505">
        <f t="shared" si="46"/>
        <v>0</v>
      </c>
      <c r="N121" s="513"/>
      <c r="O121" s="505">
        <f t="shared" si="27"/>
        <v>0</v>
      </c>
      <c r="P121" s="505">
        <f t="shared" si="28"/>
        <v>0</v>
      </c>
      <c r="Q121" s="244"/>
      <c r="R121" s="244"/>
      <c r="S121" s="244"/>
      <c r="T121" s="244"/>
      <c r="U121" s="244"/>
    </row>
    <row r="122" spans="3:21" ht="12.5">
      <c r="C122" s="496">
        <f>IF(D94="","-",+C121+1)</f>
        <v>2036</v>
      </c>
      <c r="D122" s="350">
        <f>IF(F121+SUM(E$100:E121)=D$93,F121,D$93-SUM(E$100:E121))</f>
        <v>117170.64326972236</v>
      </c>
      <c r="E122" s="510">
        <f t="shared" si="41"/>
        <v>98138.15789473684</v>
      </c>
      <c r="F122" s="511">
        <f t="shared" si="42"/>
        <v>19032.485374985525</v>
      </c>
      <c r="G122" s="511">
        <f t="shared" si="43"/>
        <v>68101.564322353952</v>
      </c>
      <c r="H122" s="645">
        <f t="shared" si="44"/>
        <v>105604.41570705509</v>
      </c>
      <c r="I122" s="573">
        <f t="shared" si="45"/>
        <v>105604.41570705509</v>
      </c>
      <c r="J122" s="505">
        <f t="shared" si="29"/>
        <v>0</v>
      </c>
      <c r="K122" s="505"/>
      <c r="L122" s="513"/>
      <c r="M122" s="505">
        <f t="shared" si="46"/>
        <v>0</v>
      </c>
      <c r="N122" s="513"/>
      <c r="O122" s="505">
        <f t="shared" si="27"/>
        <v>0</v>
      </c>
      <c r="P122" s="505">
        <f t="shared" si="28"/>
        <v>0</v>
      </c>
      <c r="Q122" s="244"/>
      <c r="R122" s="244"/>
      <c r="S122" s="244"/>
      <c r="T122" s="244"/>
      <c r="U122" s="244"/>
    </row>
    <row r="123" spans="3:21" ht="12.5">
      <c r="C123" s="496">
        <f>IF(D94="","-",+C122+1)</f>
        <v>2037</v>
      </c>
      <c r="D123" s="350">
        <f>IF(F122+SUM(E$100:E122)=D$93,F122,D$93-SUM(E$100:E122))</f>
        <v>19032.485374985525</v>
      </c>
      <c r="E123" s="510">
        <f t="shared" si="41"/>
        <v>19032.485374985525</v>
      </c>
      <c r="F123" s="511">
        <f t="shared" si="42"/>
        <v>0</v>
      </c>
      <c r="G123" s="511">
        <f t="shared" si="43"/>
        <v>9516.2426874927623</v>
      </c>
      <c r="H123" s="645">
        <f t="shared" si="44"/>
        <v>20075.790650222603</v>
      </c>
      <c r="I123" s="573">
        <f t="shared" si="45"/>
        <v>20075.790650222603</v>
      </c>
      <c r="J123" s="505">
        <f t="shared" si="29"/>
        <v>0</v>
      </c>
      <c r="K123" s="505"/>
      <c r="L123" s="513"/>
      <c r="M123" s="505">
        <f t="shared" si="46"/>
        <v>0</v>
      </c>
      <c r="N123" s="513"/>
      <c r="O123" s="505">
        <f t="shared" si="27"/>
        <v>0</v>
      </c>
      <c r="P123" s="505">
        <f t="shared" si="28"/>
        <v>0</v>
      </c>
      <c r="Q123" s="244"/>
      <c r="R123" s="244"/>
      <c r="S123" s="244"/>
      <c r="T123" s="244"/>
      <c r="U123" s="244"/>
    </row>
    <row r="124" spans="3:21" ht="12.5">
      <c r="C124" s="496">
        <f>IF(D94="","-",+C123+1)</f>
        <v>2038</v>
      </c>
      <c r="D124" s="350">
        <f>IF(F123+SUM(E$100:E123)=D$93,F123,D$93-SUM(E$100:E123))</f>
        <v>0</v>
      </c>
      <c r="E124" s="510">
        <f t="shared" si="41"/>
        <v>0</v>
      </c>
      <c r="F124" s="511">
        <f t="shared" si="42"/>
        <v>0</v>
      </c>
      <c r="G124" s="511">
        <f t="shared" si="43"/>
        <v>0</v>
      </c>
      <c r="H124" s="645">
        <f t="shared" si="44"/>
        <v>0</v>
      </c>
      <c r="I124" s="573">
        <f t="shared" si="45"/>
        <v>0</v>
      </c>
      <c r="J124" s="505">
        <f t="shared" si="29"/>
        <v>0</v>
      </c>
      <c r="K124" s="505"/>
      <c r="L124" s="513"/>
      <c r="M124" s="505">
        <f t="shared" si="46"/>
        <v>0</v>
      </c>
      <c r="N124" s="513"/>
      <c r="O124" s="505">
        <f t="shared" si="27"/>
        <v>0</v>
      </c>
      <c r="P124" s="505">
        <f t="shared" si="28"/>
        <v>0</v>
      </c>
      <c r="Q124" s="244"/>
      <c r="R124" s="244"/>
      <c r="S124" s="244"/>
      <c r="T124" s="244"/>
      <c r="U124" s="244"/>
    </row>
    <row r="125" spans="3:21" ht="12.5">
      <c r="C125" s="496">
        <f>IF(D94="","-",+C124+1)</f>
        <v>2039</v>
      </c>
      <c r="D125" s="350">
        <f>IF(F124+SUM(E$100:E124)=D$93,F124,D$93-SUM(E$100:E124))</f>
        <v>0</v>
      </c>
      <c r="E125" s="510">
        <f t="shared" si="41"/>
        <v>0</v>
      </c>
      <c r="F125" s="511">
        <f t="shared" si="42"/>
        <v>0</v>
      </c>
      <c r="G125" s="511">
        <f t="shared" si="43"/>
        <v>0</v>
      </c>
      <c r="H125" s="645">
        <f t="shared" si="44"/>
        <v>0</v>
      </c>
      <c r="I125" s="573">
        <f t="shared" si="45"/>
        <v>0</v>
      </c>
      <c r="J125" s="505">
        <f t="shared" si="29"/>
        <v>0</v>
      </c>
      <c r="K125" s="505"/>
      <c r="L125" s="513"/>
      <c r="M125" s="505">
        <f t="shared" si="46"/>
        <v>0</v>
      </c>
      <c r="N125" s="513"/>
      <c r="O125" s="505">
        <f t="shared" si="27"/>
        <v>0</v>
      </c>
      <c r="P125" s="505">
        <f t="shared" si="28"/>
        <v>0</v>
      </c>
      <c r="Q125" s="244"/>
      <c r="R125" s="244"/>
      <c r="S125" s="244"/>
      <c r="T125" s="244"/>
      <c r="U125" s="244"/>
    </row>
    <row r="126" spans="3:21" ht="12.5">
      <c r="C126" s="496">
        <f>IF(D94="","-",+C125+1)</f>
        <v>2040</v>
      </c>
      <c r="D126" s="350">
        <f>IF(F125+SUM(E$100:E125)=D$93,F125,D$93-SUM(E$100:E125))</f>
        <v>0</v>
      </c>
      <c r="E126" s="510">
        <f t="shared" si="41"/>
        <v>0</v>
      </c>
      <c r="F126" s="511">
        <f t="shared" si="42"/>
        <v>0</v>
      </c>
      <c r="G126" s="511">
        <f t="shared" si="43"/>
        <v>0</v>
      </c>
      <c r="H126" s="645">
        <f t="shared" si="44"/>
        <v>0</v>
      </c>
      <c r="I126" s="573">
        <f t="shared" si="45"/>
        <v>0</v>
      </c>
      <c r="J126" s="505">
        <f t="shared" si="29"/>
        <v>0</v>
      </c>
      <c r="K126" s="505"/>
      <c r="L126" s="513"/>
      <c r="M126" s="505">
        <f t="shared" si="46"/>
        <v>0</v>
      </c>
      <c r="N126" s="513"/>
      <c r="O126" s="505">
        <f t="shared" si="27"/>
        <v>0</v>
      </c>
      <c r="P126" s="505">
        <f t="shared" si="28"/>
        <v>0</v>
      </c>
      <c r="Q126" s="244"/>
      <c r="R126" s="244"/>
      <c r="S126" s="244"/>
      <c r="T126" s="244"/>
      <c r="U126" s="244"/>
    </row>
    <row r="127" spans="3:21" ht="12.5">
      <c r="C127" s="496">
        <f>IF(D94="","-",+C126+1)</f>
        <v>2041</v>
      </c>
      <c r="D127" s="350">
        <f>IF(F126+SUM(E$100:E126)=D$93,F126,D$93-SUM(E$100:E126))</f>
        <v>0</v>
      </c>
      <c r="E127" s="510">
        <f t="shared" si="41"/>
        <v>0</v>
      </c>
      <c r="F127" s="511">
        <f t="shared" si="42"/>
        <v>0</v>
      </c>
      <c r="G127" s="511">
        <f t="shared" si="43"/>
        <v>0</v>
      </c>
      <c r="H127" s="645">
        <f t="shared" si="44"/>
        <v>0</v>
      </c>
      <c r="I127" s="573">
        <f t="shared" si="45"/>
        <v>0</v>
      </c>
      <c r="J127" s="505">
        <f t="shared" si="29"/>
        <v>0</v>
      </c>
      <c r="K127" s="505"/>
      <c r="L127" s="513"/>
      <c r="M127" s="505">
        <f t="shared" si="46"/>
        <v>0</v>
      </c>
      <c r="N127" s="513"/>
      <c r="O127" s="505">
        <f t="shared" si="27"/>
        <v>0</v>
      </c>
      <c r="P127" s="505">
        <f t="shared" si="28"/>
        <v>0</v>
      </c>
      <c r="Q127" s="244"/>
      <c r="R127" s="244"/>
      <c r="S127" s="244"/>
      <c r="T127" s="244"/>
      <c r="U127" s="244"/>
    </row>
    <row r="128" spans="3:21" ht="12.5">
      <c r="C128" s="496">
        <f>IF(D94="","-",+C127+1)</f>
        <v>2042</v>
      </c>
      <c r="D128" s="350">
        <f>IF(F127+SUM(E$100:E127)=D$93,F127,D$93-SUM(E$100:E127))</f>
        <v>0</v>
      </c>
      <c r="E128" s="510">
        <f t="shared" si="41"/>
        <v>0</v>
      </c>
      <c r="F128" s="511">
        <f t="shared" si="42"/>
        <v>0</v>
      </c>
      <c r="G128" s="511">
        <f t="shared" si="43"/>
        <v>0</v>
      </c>
      <c r="H128" s="645">
        <f t="shared" si="44"/>
        <v>0</v>
      </c>
      <c r="I128" s="573">
        <f t="shared" si="45"/>
        <v>0</v>
      </c>
      <c r="J128" s="505">
        <f t="shared" si="29"/>
        <v>0</v>
      </c>
      <c r="K128" s="505"/>
      <c r="L128" s="513"/>
      <c r="M128" s="505">
        <f t="shared" si="46"/>
        <v>0</v>
      </c>
      <c r="N128" s="513"/>
      <c r="O128" s="505">
        <f t="shared" si="27"/>
        <v>0</v>
      </c>
      <c r="P128" s="505">
        <f t="shared" si="28"/>
        <v>0</v>
      </c>
      <c r="Q128" s="244"/>
      <c r="R128" s="244"/>
      <c r="S128" s="244"/>
      <c r="T128" s="244"/>
      <c r="U128" s="244"/>
    </row>
    <row r="129" spans="3:21" ht="12.5">
      <c r="C129" s="496">
        <f>IF(D94="","-",+C128+1)</f>
        <v>2043</v>
      </c>
      <c r="D129" s="350">
        <f>IF(F128+SUM(E$100:E128)=D$93,F128,D$93-SUM(E$100:E128))</f>
        <v>0</v>
      </c>
      <c r="E129" s="510">
        <f t="shared" si="41"/>
        <v>0</v>
      </c>
      <c r="F129" s="511">
        <f t="shared" si="42"/>
        <v>0</v>
      </c>
      <c r="G129" s="511">
        <f t="shared" si="43"/>
        <v>0</v>
      </c>
      <c r="H129" s="645">
        <f t="shared" si="44"/>
        <v>0</v>
      </c>
      <c r="I129" s="573">
        <f t="shared" si="45"/>
        <v>0</v>
      </c>
      <c r="J129" s="505">
        <f t="shared" si="29"/>
        <v>0</v>
      </c>
      <c r="K129" s="505"/>
      <c r="L129" s="513"/>
      <c r="M129" s="505">
        <f t="shared" si="46"/>
        <v>0</v>
      </c>
      <c r="N129" s="513"/>
      <c r="O129" s="505">
        <f t="shared" si="27"/>
        <v>0</v>
      </c>
      <c r="P129" s="505">
        <f t="shared" si="28"/>
        <v>0</v>
      </c>
      <c r="Q129" s="244"/>
      <c r="R129" s="244"/>
      <c r="S129" s="244"/>
      <c r="T129" s="244"/>
      <c r="U129" s="244"/>
    </row>
    <row r="130" spans="3:21" ht="12.5">
      <c r="C130" s="496">
        <f>IF(D94="","-",+C129+1)</f>
        <v>2044</v>
      </c>
      <c r="D130" s="350">
        <f>IF(F129+SUM(E$100:E129)=D$93,F129,D$93-SUM(E$100:E129))</f>
        <v>0</v>
      </c>
      <c r="E130" s="510">
        <f t="shared" si="41"/>
        <v>0</v>
      </c>
      <c r="F130" s="511">
        <f t="shared" si="42"/>
        <v>0</v>
      </c>
      <c r="G130" s="511">
        <f t="shared" si="43"/>
        <v>0</v>
      </c>
      <c r="H130" s="645">
        <f t="shared" si="44"/>
        <v>0</v>
      </c>
      <c r="I130" s="573">
        <f t="shared" si="45"/>
        <v>0</v>
      </c>
      <c r="J130" s="505">
        <f t="shared" si="29"/>
        <v>0</v>
      </c>
      <c r="K130" s="505"/>
      <c r="L130" s="513"/>
      <c r="M130" s="505">
        <f t="shared" si="46"/>
        <v>0</v>
      </c>
      <c r="N130" s="513"/>
      <c r="O130" s="505">
        <f t="shared" si="27"/>
        <v>0</v>
      </c>
      <c r="P130" s="505">
        <f t="shared" si="28"/>
        <v>0</v>
      </c>
      <c r="Q130" s="244"/>
      <c r="R130" s="244"/>
      <c r="S130" s="244"/>
      <c r="T130" s="244"/>
      <c r="U130" s="244"/>
    </row>
    <row r="131" spans="3:21" ht="12.5">
      <c r="C131" s="496">
        <f>IF(D94="","-",+C130+1)</f>
        <v>2045</v>
      </c>
      <c r="D131" s="350">
        <f>IF(F130+SUM(E$100:E130)=D$93,F130,D$93-SUM(E$100:E130))</f>
        <v>0</v>
      </c>
      <c r="E131" s="510">
        <f t="shared" si="41"/>
        <v>0</v>
      </c>
      <c r="F131" s="511">
        <f t="shared" si="42"/>
        <v>0</v>
      </c>
      <c r="G131" s="511">
        <f t="shared" si="43"/>
        <v>0</v>
      </c>
      <c r="H131" s="645">
        <f t="shared" si="44"/>
        <v>0</v>
      </c>
      <c r="I131" s="573">
        <f t="shared" si="45"/>
        <v>0</v>
      </c>
      <c r="J131" s="505">
        <f t="shared" si="29"/>
        <v>0</v>
      </c>
      <c r="K131" s="505"/>
      <c r="L131" s="513"/>
      <c r="M131" s="505">
        <f t="shared" si="46"/>
        <v>0</v>
      </c>
      <c r="N131" s="513"/>
      <c r="O131" s="505">
        <f t="shared" si="27"/>
        <v>0</v>
      </c>
      <c r="P131" s="505">
        <f t="shared" si="28"/>
        <v>0</v>
      </c>
      <c r="Q131" s="244"/>
      <c r="R131" s="244"/>
      <c r="S131" s="244"/>
      <c r="T131" s="244"/>
      <c r="U131" s="244"/>
    </row>
    <row r="132" spans="3:21" ht="12.5">
      <c r="C132" s="496">
        <f>IF(D94="","-",+C131+1)</f>
        <v>2046</v>
      </c>
      <c r="D132" s="350">
        <f>IF(F131+SUM(E$100:E131)=D$93,F131,D$93-SUM(E$100:E131))</f>
        <v>0</v>
      </c>
      <c r="E132" s="510">
        <f t="shared" si="41"/>
        <v>0</v>
      </c>
      <c r="F132" s="511">
        <f t="shared" si="42"/>
        <v>0</v>
      </c>
      <c r="G132" s="511">
        <f t="shared" si="43"/>
        <v>0</v>
      </c>
      <c r="H132" s="645">
        <f t="shared" si="44"/>
        <v>0</v>
      </c>
      <c r="I132" s="573">
        <f t="shared" si="45"/>
        <v>0</v>
      </c>
      <c r="J132" s="505">
        <f t="shared" si="29"/>
        <v>0</v>
      </c>
      <c r="K132" s="505"/>
      <c r="L132" s="513"/>
      <c r="M132" s="505">
        <f t="shared" ref="M132:M155" si="47">IF(L542&lt;&gt;0,+H542-L542,0)</f>
        <v>0</v>
      </c>
      <c r="N132" s="513"/>
      <c r="O132" s="505">
        <f t="shared" ref="O132:O155" si="48">IF(N542&lt;&gt;0,+I542-N542,0)</f>
        <v>0</v>
      </c>
      <c r="P132" s="505">
        <f t="shared" ref="P132:P155" si="49">+O542-M542</f>
        <v>0</v>
      </c>
      <c r="Q132" s="244"/>
      <c r="R132" s="244"/>
      <c r="S132" s="244"/>
      <c r="T132" s="244"/>
      <c r="U132" s="244"/>
    </row>
    <row r="133" spans="3:21" ht="12.5">
      <c r="C133" s="496">
        <f>IF(D94="","-",+C132+1)</f>
        <v>2047</v>
      </c>
      <c r="D133" s="350">
        <f>IF(F132+SUM(E$100:E132)=D$93,F132,D$93-SUM(E$100:E132))</f>
        <v>0</v>
      </c>
      <c r="E133" s="510">
        <f t="shared" si="41"/>
        <v>0</v>
      </c>
      <c r="F133" s="511">
        <f t="shared" si="42"/>
        <v>0</v>
      </c>
      <c r="G133" s="511">
        <f t="shared" si="43"/>
        <v>0</v>
      </c>
      <c r="H133" s="645">
        <f t="shared" si="44"/>
        <v>0</v>
      </c>
      <c r="I133" s="573">
        <f t="shared" si="45"/>
        <v>0</v>
      </c>
      <c r="J133" s="505">
        <f t="shared" si="29"/>
        <v>0</v>
      </c>
      <c r="K133" s="505"/>
      <c r="L133" s="513"/>
      <c r="M133" s="505">
        <f t="shared" si="47"/>
        <v>0</v>
      </c>
      <c r="N133" s="513"/>
      <c r="O133" s="505">
        <f t="shared" si="48"/>
        <v>0</v>
      </c>
      <c r="P133" s="505">
        <f t="shared" si="49"/>
        <v>0</v>
      </c>
      <c r="Q133" s="244"/>
      <c r="R133" s="244"/>
      <c r="S133" s="244"/>
      <c r="T133" s="244"/>
      <c r="U133" s="244"/>
    </row>
    <row r="134" spans="3:21" ht="12.5">
      <c r="C134" s="496">
        <f>IF(D94="","-",+C133+1)</f>
        <v>2048</v>
      </c>
      <c r="D134" s="350">
        <f>IF(F133+SUM(E$100:E133)=D$93,F133,D$93-SUM(E$100:E133))</f>
        <v>0</v>
      </c>
      <c r="E134" s="510">
        <f t="shared" si="41"/>
        <v>0</v>
      </c>
      <c r="F134" s="511">
        <f t="shared" si="42"/>
        <v>0</v>
      </c>
      <c r="G134" s="511">
        <f t="shared" si="43"/>
        <v>0</v>
      </c>
      <c r="H134" s="645">
        <f t="shared" si="44"/>
        <v>0</v>
      </c>
      <c r="I134" s="573">
        <f t="shared" si="45"/>
        <v>0</v>
      </c>
      <c r="J134" s="505">
        <f t="shared" si="29"/>
        <v>0</v>
      </c>
      <c r="K134" s="505"/>
      <c r="L134" s="513"/>
      <c r="M134" s="505">
        <f t="shared" si="47"/>
        <v>0</v>
      </c>
      <c r="N134" s="513"/>
      <c r="O134" s="505">
        <f t="shared" si="48"/>
        <v>0</v>
      </c>
      <c r="P134" s="505">
        <f t="shared" si="49"/>
        <v>0</v>
      </c>
      <c r="Q134" s="244"/>
      <c r="R134" s="244"/>
      <c r="S134" s="244"/>
      <c r="T134" s="244"/>
      <c r="U134" s="244"/>
    </row>
    <row r="135" spans="3:21" ht="12.5">
      <c r="C135" s="496">
        <f>IF(D94="","-",+C134+1)</f>
        <v>2049</v>
      </c>
      <c r="D135" s="350">
        <f>IF(F134+SUM(E$100:E134)=D$93,F134,D$93-SUM(E$100:E134))</f>
        <v>0</v>
      </c>
      <c r="E135" s="510">
        <f t="shared" si="41"/>
        <v>0</v>
      </c>
      <c r="F135" s="511">
        <f t="shared" si="42"/>
        <v>0</v>
      </c>
      <c r="G135" s="511">
        <f t="shared" si="43"/>
        <v>0</v>
      </c>
      <c r="H135" s="645">
        <f t="shared" si="44"/>
        <v>0</v>
      </c>
      <c r="I135" s="573">
        <f t="shared" si="45"/>
        <v>0</v>
      </c>
      <c r="J135" s="505">
        <f t="shared" si="29"/>
        <v>0</v>
      </c>
      <c r="K135" s="505"/>
      <c r="L135" s="513"/>
      <c r="M135" s="505">
        <f t="shared" si="47"/>
        <v>0</v>
      </c>
      <c r="N135" s="513"/>
      <c r="O135" s="505">
        <f t="shared" si="48"/>
        <v>0</v>
      </c>
      <c r="P135" s="505">
        <f t="shared" si="49"/>
        <v>0</v>
      </c>
      <c r="Q135" s="244"/>
      <c r="R135" s="244"/>
      <c r="S135" s="244"/>
      <c r="T135" s="244"/>
      <c r="U135" s="244"/>
    </row>
    <row r="136" spans="3:21" ht="12.5">
      <c r="C136" s="496">
        <f>IF(D94="","-",+C135+1)</f>
        <v>2050</v>
      </c>
      <c r="D136" s="350">
        <f>IF(F135+SUM(E$100:E135)=D$93,F135,D$93-SUM(E$100:E135))</f>
        <v>0</v>
      </c>
      <c r="E136" s="510">
        <f t="shared" si="41"/>
        <v>0</v>
      </c>
      <c r="F136" s="511">
        <f t="shared" si="42"/>
        <v>0</v>
      </c>
      <c r="G136" s="511">
        <f t="shared" si="43"/>
        <v>0</v>
      </c>
      <c r="H136" s="645">
        <f t="shared" si="44"/>
        <v>0</v>
      </c>
      <c r="I136" s="573">
        <f t="shared" si="45"/>
        <v>0</v>
      </c>
      <c r="J136" s="505">
        <f t="shared" si="29"/>
        <v>0</v>
      </c>
      <c r="K136" s="505"/>
      <c r="L136" s="513"/>
      <c r="M136" s="505">
        <f t="shared" si="47"/>
        <v>0</v>
      </c>
      <c r="N136" s="513"/>
      <c r="O136" s="505">
        <f t="shared" si="48"/>
        <v>0</v>
      </c>
      <c r="P136" s="505">
        <f t="shared" si="49"/>
        <v>0</v>
      </c>
      <c r="Q136" s="244"/>
      <c r="R136" s="244"/>
      <c r="S136" s="244"/>
      <c r="T136" s="244"/>
      <c r="U136" s="244"/>
    </row>
    <row r="137" spans="3:21" ht="12.5">
      <c r="C137" s="496">
        <f>IF(D94="","-",+C136+1)</f>
        <v>2051</v>
      </c>
      <c r="D137" s="350">
        <f>IF(F136+SUM(E$100:E136)=D$93,F136,D$93-SUM(E$100:E136))</f>
        <v>0</v>
      </c>
      <c r="E137" s="510">
        <f t="shared" si="41"/>
        <v>0</v>
      </c>
      <c r="F137" s="511">
        <f t="shared" si="42"/>
        <v>0</v>
      </c>
      <c r="G137" s="511">
        <f t="shared" si="43"/>
        <v>0</v>
      </c>
      <c r="H137" s="645">
        <f t="shared" si="44"/>
        <v>0</v>
      </c>
      <c r="I137" s="573">
        <f t="shared" si="45"/>
        <v>0</v>
      </c>
      <c r="J137" s="505">
        <f t="shared" si="29"/>
        <v>0</v>
      </c>
      <c r="K137" s="505"/>
      <c r="L137" s="513"/>
      <c r="M137" s="505">
        <f t="shared" si="47"/>
        <v>0</v>
      </c>
      <c r="N137" s="513"/>
      <c r="O137" s="505">
        <f t="shared" si="48"/>
        <v>0</v>
      </c>
      <c r="P137" s="505">
        <f t="shared" si="49"/>
        <v>0</v>
      </c>
      <c r="Q137" s="244"/>
      <c r="R137" s="244"/>
      <c r="S137" s="244"/>
      <c r="T137" s="244"/>
      <c r="U137" s="244"/>
    </row>
    <row r="138" spans="3:21" ht="12.5">
      <c r="C138" s="496">
        <f>IF(D94="","-",+C137+1)</f>
        <v>2052</v>
      </c>
      <c r="D138" s="350">
        <f>IF(F137+SUM(E$100:E137)=D$93,F137,D$93-SUM(E$100:E137))</f>
        <v>0</v>
      </c>
      <c r="E138" s="510">
        <f t="shared" si="41"/>
        <v>0</v>
      </c>
      <c r="F138" s="511">
        <f t="shared" si="42"/>
        <v>0</v>
      </c>
      <c r="G138" s="511">
        <f t="shared" si="43"/>
        <v>0</v>
      </c>
      <c r="H138" s="645">
        <f t="shared" si="44"/>
        <v>0</v>
      </c>
      <c r="I138" s="573">
        <f t="shared" si="45"/>
        <v>0</v>
      </c>
      <c r="J138" s="505">
        <f t="shared" si="29"/>
        <v>0</v>
      </c>
      <c r="K138" s="505"/>
      <c r="L138" s="513"/>
      <c r="M138" s="505">
        <f t="shared" si="47"/>
        <v>0</v>
      </c>
      <c r="N138" s="513"/>
      <c r="O138" s="505">
        <f t="shared" si="48"/>
        <v>0</v>
      </c>
      <c r="P138" s="505">
        <f t="shared" si="49"/>
        <v>0</v>
      </c>
      <c r="Q138" s="244"/>
      <c r="R138" s="244"/>
      <c r="S138" s="244"/>
      <c r="T138" s="244"/>
      <c r="U138" s="244"/>
    </row>
    <row r="139" spans="3:21" ht="12.5">
      <c r="C139" s="496">
        <f>IF(D94="","-",+C138+1)</f>
        <v>2053</v>
      </c>
      <c r="D139" s="350">
        <f>IF(F138+SUM(E$100:E138)=D$93,F138,D$93-SUM(E$100:E138))</f>
        <v>0</v>
      </c>
      <c r="E139" s="510">
        <f t="shared" si="41"/>
        <v>0</v>
      </c>
      <c r="F139" s="511">
        <f t="shared" si="42"/>
        <v>0</v>
      </c>
      <c r="G139" s="511">
        <f t="shared" si="43"/>
        <v>0</v>
      </c>
      <c r="H139" s="645">
        <f t="shared" si="44"/>
        <v>0</v>
      </c>
      <c r="I139" s="573">
        <f t="shared" si="45"/>
        <v>0</v>
      </c>
      <c r="J139" s="505">
        <f t="shared" si="29"/>
        <v>0</v>
      </c>
      <c r="K139" s="505"/>
      <c r="L139" s="513"/>
      <c r="M139" s="505">
        <f t="shared" si="47"/>
        <v>0</v>
      </c>
      <c r="N139" s="513"/>
      <c r="O139" s="505">
        <f t="shared" si="48"/>
        <v>0</v>
      </c>
      <c r="P139" s="505">
        <f t="shared" si="49"/>
        <v>0</v>
      </c>
      <c r="Q139" s="244"/>
      <c r="R139" s="244"/>
      <c r="S139" s="244"/>
      <c r="T139" s="244"/>
      <c r="U139" s="244"/>
    </row>
    <row r="140" spans="3:21" ht="12.5">
      <c r="C140" s="496">
        <f>IF(D94="","-",+C139+1)</f>
        <v>2054</v>
      </c>
      <c r="D140" s="350">
        <f>IF(F139+SUM(E$100:E139)=D$93,F139,D$93-SUM(E$100:E139))</f>
        <v>0</v>
      </c>
      <c r="E140" s="510">
        <f t="shared" si="41"/>
        <v>0</v>
      </c>
      <c r="F140" s="511">
        <f t="shared" si="42"/>
        <v>0</v>
      </c>
      <c r="G140" s="511">
        <f t="shared" si="43"/>
        <v>0</v>
      </c>
      <c r="H140" s="645">
        <f t="shared" si="44"/>
        <v>0</v>
      </c>
      <c r="I140" s="573">
        <f t="shared" si="45"/>
        <v>0</v>
      </c>
      <c r="J140" s="505">
        <f t="shared" si="29"/>
        <v>0</v>
      </c>
      <c r="K140" s="505"/>
      <c r="L140" s="513"/>
      <c r="M140" s="505">
        <f t="shared" si="47"/>
        <v>0</v>
      </c>
      <c r="N140" s="513"/>
      <c r="O140" s="505">
        <f t="shared" si="48"/>
        <v>0</v>
      </c>
      <c r="P140" s="505">
        <f t="shared" si="49"/>
        <v>0</v>
      </c>
      <c r="Q140" s="244"/>
      <c r="R140" s="244"/>
      <c r="S140" s="244"/>
      <c r="T140" s="244"/>
      <c r="U140" s="244"/>
    </row>
    <row r="141" spans="3:21" ht="12.5">
      <c r="C141" s="496">
        <f>IF(D94="","-",+C140+1)</f>
        <v>2055</v>
      </c>
      <c r="D141" s="350">
        <f>IF(F140+SUM(E$100:E140)=D$93,F140,D$93-SUM(E$100:E140))</f>
        <v>0</v>
      </c>
      <c r="E141" s="510">
        <f t="shared" si="41"/>
        <v>0</v>
      </c>
      <c r="F141" s="511">
        <f t="shared" si="42"/>
        <v>0</v>
      </c>
      <c r="G141" s="511">
        <f t="shared" si="43"/>
        <v>0</v>
      </c>
      <c r="H141" s="645">
        <f t="shared" si="44"/>
        <v>0</v>
      </c>
      <c r="I141" s="573">
        <f t="shared" si="45"/>
        <v>0</v>
      </c>
      <c r="J141" s="505">
        <f t="shared" si="29"/>
        <v>0</v>
      </c>
      <c r="K141" s="505"/>
      <c r="L141" s="513"/>
      <c r="M141" s="505">
        <f t="shared" si="47"/>
        <v>0</v>
      </c>
      <c r="N141" s="513"/>
      <c r="O141" s="505">
        <f t="shared" si="48"/>
        <v>0</v>
      </c>
      <c r="P141" s="505">
        <f t="shared" si="49"/>
        <v>0</v>
      </c>
      <c r="Q141" s="244"/>
      <c r="R141" s="244"/>
      <c r="S141" s="244"/>
      <c r="T141" s="244"/>
      <c r="U141" s="244"/>
    </row>
    <row r="142" spans="3:21" ht="12.5">
      <c r="C142" s="496">
        <f>IF(D94="","-",+C141+1)</f>
        <v>2056</v>
      </c>
      <c r="D142" s="350">
        <f>IF(F141+SUM(E$100:E141)=D$93,F141,D$93-SUM(E$100:E141))</f>
        <v>0</v>
      </c>
      <c r="E142" s="510">
        <f t="shared" si="41"/>
        <v>0</v>
      </c>
      <c r="F142" s="511">
        <f t="shared" si="42"/>
        <v>0</v>
      </c>
      <c r="G142" s="511">
        <f t="shared" si="43"/>
        <v>0</v>
      </c>
      <c r="H142" s="645">
        <f t="shared" si="44"/>
        <v>0</v>
      </c>
      <c r="I142" s="573">
        <f t="shared" si="45"/>
        <v>0</v>
      </c>
      <c r="J142" s="505">
        <f t="shared" si="29"/>
        <v>0</v>
      </c>
      <c r="K142" s="505"/>
      <c r="L142" s="513"/>
      <c r="M142" s="505">
        <f t="shared" si="47"/>
        <v>0</v>
      </c>
      <c r="N142" s="513"/>
      <c r="O142" s="505">
        <f t="shared" si="48"/>
        <v>0</v>
      </c>
      <c r="P142" s="505">
        <f t="shared" si="49"/>
        <v>0</v>
      </c>
      <c r="Q142" s="244"/>
      <c r="R142" s="244"/>
      <c r="S142" s="244"/>
      <c r="T142" s="244"/>
      <c r="U142" s="244"/>
    </row>
    <row r="143" spans="3:21" ht="12.5">
      <c r="C143" s="496">
        <f>IF(D94="","-",+C142+1)</f>
        <v>2057</v>
      </c>
      <c r="D143" s="350">
        <f>IF(F142+SUM(E$100:E142)=D$93,F142,D$93-SUM(E$100:E142))</f>
        <v>0</v>
      </c>
      <c r="E143" s="510">
        <f t="shared" si="41"/>
        <v>0</v>
      </c>
      <c r="F143" s="511">
        <f t="shared" si="42"/>
        <v>0</v>
      </c>
      <c r="G143" s="511">
        <f t="shared" si="43"/>
        <v>0</v>
      </c>
      <c r="H143" s="645">
        <f t="shared" si="44"/>
        <v>0</v>
      </c>
      <c r="I143" s="573">
        <f t="shared" si="45"/>
        <v>0</v>
      </c>
      <c r="J143" s="505">
        <f t="shared" si="29"/>
        <v>0</v>
      </c>
      <c r="K143" s="505"/>
      <c r="L143" s="513"/>
      <c r="M143" s="505">
        <f t="shared" si="47"/>
        <v>0</v>
      </c>
      <c r="N143" s="513"/>
      <c r="O143" s="505">
        <f t="shared" si="48"/>
        <v>0</v>
      </c>
      <c r="P143" s="505">
        <f t="shared" si="49"/>
        <v>0</v>
      </c>
      <c r="Q143" s="244"/>
      <c r="R143" s="244"/>
      <c r="S143" s="244"/>
      <c r="T143" s="244"/>
      <c r="U143" s="244"/>
    </row>
    <row r="144" spans="3:21" ht="12.5">
      <c r="C144" s="496">
        <f>IF(D94="","-",+C143+1)</f>
        <v>2058</v>
      </c>
      <c r="D144" s="350">
        <f>IF(F143+SUM(E$100:E143)=D$93,F143,D$93-SUM(E$100:E143))</f>
        <v>0</v>
      </c>
      <c r="E144" s="510">
        <f t="shared" si="41"/>
        <v>0</v>
      </c>
      <c r="F144" s="511">
        <f t="shared" si="42"/>
        <v>0</v>
      </c>
      <c r="G144" s="511">
        <f t="shared" si="43"/>
        <v>0</v>
      </c>
      <c r="H144" s="645">
        <f t="shared" si="44"/>
        <v>0</v>
      </c>
      <c r="I144" s="573">
        <f t="shared" si="45"/>
        <v>0</v>
      </c>
      <c r="J144" s="505">
        <f t="shared" si="29"/>
        <v>0</v>
      </c>
      <c r="K144" s="505"/>
      <c r="L144" s="513"/>
      <c r="M144" s="505">
        <f t="shared" si="47"/>
        <v>0</v>
      </c>
      <c r="N144" s="513"/>
      <c r="O144" s="505">
        <f t="shared" si="48"/>
        <v>0</v>
      </c>
      <c r="P144" s="505">
        <f t="shared" si="49"/>
        <v>0</v>
      </c>
      <c r="Q144" s="244"/>
      <c r="R144" s="244"/>
      <c r="S144" s="244"/>
      <c r="T144" s="244"/>
      <c r="U144" s="244"/>
    </row>
    <row r="145" spans="3:21" ht="12.5">
      <c r="C145" s="496">
        <f>IF(D94="","-",+C144+1)</f>
        <v>2059</v>
      </c>
      <c r="D145" s="350">
        <f>IF(F144+SUM(E$100:E144)=D$93,F144,D$93-SUM(E$100:E144))</f>
        <v>0</v>
      </c>
      <c r="E145" s="510">
        <f t="shared" si="41"/>
        <v>0</v>
      </c>
      <c r="F145" s="511">
        <f t="shared" si="42"/>
        <v>0</v>
      </c>
      <c r="G145" s="511">
        <f t="shared" si="43"/>
        <v>0</v>
      </c>
      <c r="H145" s="645">
        <f t="shared" si="44"/>
        <v>0</v>
      </c>
      <c r="I145" s="573">
        <f t="shared" si="45"/>
        <v>0</v>
      </c>
      <c r="J145" s="505">
        <f t="shared" si="29"/>
        <v>0</v>
      </c>
      <c r="K145" s="505"/>
      <c r="L145" s="513"/>
      <c r="M145" s="505">
        <f t="shared" si="47"/>
        <v>0</v>
      </c>
      <c r="N145" s="513"/>
      <c r="O145" s="505">
        <f t="shared" si="48"/>
        <v>0</v>
      </c>
      <c r="P145" s="505">
        <f t="shared" si="49"/>
        <v>0</v>
      </c>
      <c r="Q145" s="244"/>
      <c r="R145" s="244"/>
      <c r="S145" s="244"/>
      <c r="T145" s="244"/>
      <c r="U145" s="244"/>
    </row>
    <row r="146" spans="3:21" ht="12.5">
      <c r="C146" s="496">
        <f>IF(D94="","-",+C145+1)</f>
        <v>2060</v>
      </c>
      <c r="D146" s="350">
        <f>IF(F145+SUM(E$100:E145)=D$93,F145,D$93-SUM(E$100:E145))</f>
        <v>0</v>
      </c>
      <c r="E146" s="510">
        <f t="shared" si="41"/>
        <v>0</v>
      </c>
      <c r="F146" s="511">
        <f t="shared" si="42"/>
        <v>0</v>
      </c>
      <c r="G146" s="511">
        <f t="shared" si="43"/>
        <v>0</v>
      </c>
      <c r="H146" s="645">
        <f t="shared" si="44"/>
        <v>0</v>
      </c>
      <c r="I146" s="573">
        <f t="shared" si="45"/>
        <v>0</v>
      </c>
      <c r="J146" s="505">
        <f t="shared" si="29"/>
        <v>0</v>
      </c>
      <c r="K146" s="505"/>
      <c r="L146" s="513"/>
      <c r="M146" s="505">
        <f t="shared" si="47"/>
        <v>0</v>
      </c>
      <c r="N146" s="513"/>
      <c r="O146" s="505">
        <f t="shared" si="48"/>
        <v>0</v>
      </c>
      <c r="P146" s="505">
        <f t="shared" si="49"/>
        <v>0</v>
      </c>
      <c r="Q146" s="244"/>
      <c r="R146" s="244"/>
      <c r="S146" s="244"/>
      <c r="T146" s="244"/>
      <c r="U146" s="244"/>
    </row>
    <row r="147" spans="3:21" ht="12.5">
      <c r="C147" s="496">
        <f>IF(D94="","-",+C146+1)</f>
        <v>2061</v>
      </c>
      <c r="D147" s="350">
        <f>IF(F146+SUM(E$100:E146)=D$93,F146,D$93-SUM(E$100:E146))</f>
        <v>0</v>
      </c>
      <c r="E147" s="510">
        <f t="shared" si="41"/>
        <v>0</v>
      </c>
      <c r="F147" s="511">
        <f t="shared" si="42"/>
        <v>0</v>
      </c>
      <c r="G147" s="511">
        <f t="shared" si="43"/>
        <v>0</v>
      </c>
      <c r="H147" s="645">
        <f t="shared" si="44"/>
        <v>0</v>
      </c>
      <c r="I147" s="573">
        <f t="shared" si="45"/>
        <v>0</v>
      </c>
      <c r="J147" s="505">
        <f t="shared" si="29"/>
        <v>0</v>
      </c>
      <c r="K147" s="505"/>
      <c r="L147" s="513"/>
      <c r="M147" s="505">
        <f t="shared" si="47"/>
        <v>0</v>
      </c>
      <c r="N147" s="513"/>
      <c r="O147" s="505">
        <f t="shared" si="48"/>
        <v>0</v>
      </c>
      <c r="P147" s="505">
        <f t="shared" si="49"/>
        <v>0</v>
      </c>
      <c r="Q147" s="244"/>
      <c r="R147" s="244"/>
      <c r="S147" s="244"/>
      <c r="T147" s="244"/>
      <c r="U147" s="244"/>
    </row>
    <row r="148" spans="3:21" ht="12.5">
      <c r="C148" s="496">
        <f>IF(D94="","-",+C147+1)</f>
        <v>2062</v>
      </c>
      <c r="D148" s="350">
        <f>IF(F147+SUM(E$100:E147)=D$93,F147,D$93-SUM(E$100:E147))</f>
        <v>0</v>
      </c>
      <c r="E148" s="510">
        <f t="shared" si="41"/>
        <v>0</v>
      </c>
      <c r="F148" s="511">
        <f t="shared" si="42"/>
        <v>0</v>
      </c>
      <c r="G148" s="511">
        <f t="shared" si="43"/>
        <v>0</v>
      </c>
      <c r="H148" s="645">
        <f t="shared" si="44"/>
        <v>0</v>
      </c>
      <c r="I148" s="573">
        <f t="shared" si="45"/>
        <v>0</v>
      </c>
      <c r="J148" s="505">
        <f t="shared" si="29"/>
        <v>0</v>
      </c>
      <c r="K148" s="505"/>
      <c r="L148" s="513"/>
      <c r="M148" s="505">
        <f t="shared" si="47"/>
        <v>0</v>
      </c>
      <c r="N148" s="513"/>
      <c r="O148" s="505">
        <f t="shared" si="48"/>
        <v>0</v>
      </c>
      <c r="P148" s="505">
        <f t="shared" si="49"/>
        <v>0</v>
      </c>
      <c r="Q148" s="244"/>
      <c r="R148" s="244"/>
      <c r="S148" s="244"/>
      <c r="T148" s="244"/>
      <c r="U148" s="244"/>
    </row>
    <row r="149" spans="3:21" ht="12.5">
      <c r="C149" s="496">
        <f>IF(D94="","-",+C148+1)</f>
        <v>2063</v>
      </c>
      <c r="D149" s="350">
        <f>IF(F148+SUM(E$100:E148)=D$93,F148,D$93-SUM(E$100:E148))</f>
        <v>0</v>
      </c>
      <c r="E149" s="510">
        <f t="shared" si="41"/>
        <v>0</v>
      </c>
      <c r="F149" s="511">
        <f t="shared" si="42"/>
        <v>0</v>
      </c>
      <c r="G149" s="511">
        <f t="shared" si="43"/>
        <v>0</v>
      </c>
      <c r="H149" s="645">
        <f t="shared" si="44"/>
        <v>0</v>
      </c>
      <c r="I149" s="573">
        <f t="shared" si="45"/>
        <v>0</v>
      </c>
      <c r="J149" s="505">
        <f t="shared" si="29"/>
        <v>0</v>
      </c>
      <c r="K149" s="505"/>
      <c r="L149" s="513"/>
      <c r="M149" s="505">
        <f t="shared" si="47"/>
        <v>0</v>
      </c>
      <c r="N149" s="513"/>
      <c r="O149" s="505">
        <f t="shared" si="48"/>
        <v>0</v>
      </c>
      <c r="P149" s="505">
        <f t="shared" si="49"/>
        <v>0</v>
      </c>
      <c r="Q149" s="244"/>
      <c r="R149" s="244"/>
      <c r="S149" s="244"/>
      <c r="T149" s="244"/>
      <c r="U149" s="244"/>
    </row>
    <row r="150" spans="3:21" ht="12.5">
      <c r="C150" s="496">
        <f>IF(D94="","-",+C149+1)</f>
        <v>2064</v>
      </c>
      <c r="D150" s="350">
        <f>IF(F149+SUM(E$100:E149)=D$93,F149,D$93-SUM(E$100:E149))</f>
        <v>0</v>
      </c>
      <c r="E150" s="510">
        <f t="shared" si="41"/>
        <v>0</v>
      </c>
      <c r="F150" s="511">
        <f t="shared" si="42"/>
        <v>0</v>
      </c>
      <c r="G150" s="511">
        <f t="shared" si="43"/>
        <v>0</v>
      </c>
      <c r="H150" s="645">
        <f t="shared" si="44"/>
        <v>0</v>
      </c>
      <c r="I150" s="573">
        <f t="shared" si="45"/>
        <v>0</v>
      </c>
      <c r="J150" s="505">
        <f t="shared" si="29"/>
        <v>0</v>
      </c>
      <c r="K150" s="505"/>
      <c r="L150" s="513"/>
      <c r="M150" s="505">
        <f t="shared" si="47"/>
        <v>0</v>
      </c>
      <c r="N150" s="513"/>
      <c r="O150" s="505">
        <f t="shared" si="48"/>
        <v>0</v>
      </c>
      <c r="P150" s="505">
        <f t="shared" si="49"/>
        <v>0</v>
      </c>
      <c r="Q150" s="244"/>
      <c r="R150" s="244"/>
      <c r="S150" s="244"/>
      <c r="T150" s="244"/>
      <c r="U150" s="244"/>
    </row>
    <row r="151" spans="3:21" ht="12.5">
      <c r="C151" s="496">
        <f>IF(D94="","-",+C150+1)</f>
        <v>2065</v>
      </c>
      <c r="D151" s="350">
        <f>IF(F150+SUM(E$100:E150)=D$93,F150,D$93-SUM(E$100:E150))</f>
        <v>0</v>
      </c>
      <c r="E151" s="510">
        <f t="shared" si="41"/>
        <v>0</v>
      </c>
      <c r="F151" s="511">
        <f t="shared" si="42"/>
        <v>0</v>
      </c>
      <c r="G151" s="511">
        <f t="shared" si="43"/>
        <v>0</v>
      </c>
      <c r="H151" s="645">
        <f t="shared" si="44"/>
        <v>0</v>
      </c>
      <c r="I151" s="573">
        <f t="shared" si="45"/>
        <v>0</v>
      </c>
      <c r="J151" s="505">
        <f t="shared" si="29"/>
        <v>0</v>
      </c>
      <c r="K151" s="505"/>
      <c r="L151" s="513"/>
      <c r="M151" s="505">
        <f t="shared" si="47"/>
        <v>0</v>
      </c>
      <c r="N151" s="513"/>
      <c r="O151" s="505">
        <f t="shared" si="48"/>
        <v>0</v>
      </c>
      <c r="P151" s="505">
        <f t="shared" si="49"/>
        <v>0</v>
      </c>
      <c r="Q151" s="244"/>
      <c r="R151" s="244"/>
      <c r="S151" s="244"/>
      <c r="T151" s="244"/>
      <c r="U151" s="244"/>
    </row>
    <row r="152" spans="3:21" ht="12.5">
      <c r="C152" s="496">
        <f>IF(D94="","-",+C151+1)</f>
        <v>2066</v>
      </c>
      <c r="D152" s="350">
        <f>IF(F151+SUM(E$100:E151)=D$93,F151,D$93-SUM(E$100:E151))</f>
        <v>0</v>
      </c>
      <c r="E152" s="510">
        <f t="shared" si="41"/>
        <v>0</v>
      </c>
      <c r="F152" s="511">
        <f t="shared" si="42"/>
        <v>0</v>
      </c>
      <c r="G152" s="511">
        <f t="shared" si="43"/>
        <v>0</v>
      </c>
      <c r="H152" s="645">
        <f t="shared" si="44"/>
        <v>0</v>
      </c>
      <c r="I152" s="573">
        <f t="shared" si="45"/>
        <v>0</v>
      </c>
      <c r="J152" s="505">
        <f t="shared" si="29"/>
        <v>0</v>
      </c>
      <c r="K152" s="505"/>
      <c r="L152" s="513"/>
      <c r="M152" s="505">
        <f t="shared" si="47"/>
        <v>0</v>
      </c>
      <c r="N152" s="513"/>
      <c r="O152" s="505">
        <f t="shared" si="48"/>
        <v>0</v>
      </c>
      <c r="P152" s="505">
        <f t="shared" si="49"/>
        <v>0</v>
      </c>
      <c r="Q152" s="244"/>
      <c r="R152" s="244"/>
      <c r="S152" s="244"/>
      <c r="T152" s="244"/>
      <c r="U152" s="244"/>
    </row>
    <row r="153" spans="3:21" ht="12.5">
      <c r="C153" s="496">
        <f>IF(D94="","-",+C152+1)</f>
        <v>2067</v>
      </c>
      <c r="D153" s="350">
        <f>IF(F152+SUM(E$100:E152)=D$93,F152,D$93-SUM(E$100:E152))</f>
        <v>0</v>
      </c>
      <c r="E153" s="510">
        <f t="shared" si="41"/>
        <v>0</v>
      </c>
      <c r="F153" s="511">
        <f t="shared" si="42"/>
        <v>0</v>
      </c>
      <c r="G153" s="511">
        <f t="shared" si="43"/>
        <v>0</v>
      </c>
      <c r="H153" s="645">
        <f t="shared" si="44"/>
        <v>0</v>
      </c>
      <c r="I153" s="573">
        <f t="shared" si="45"/>
        <v>0</v>
      </c>
      <c r="J153" s="505">
        <f t="shared" si="29"/>
        <v>0</v>
      </c>
      <c r="K153" s="505"/>
      <c r="L153" s="513"/>
      <c r="M153" s="505">
        <f t="shared" si="47"/>
        <v>0</v>
      </c>
      <c r="N153" s="513"/>
      <c r="O153" s="505">
        <f t="shared" si="48"/>
        <v>0</v>
      </c>
      <c r="P153" s="505">
        <f t="shared" si="49"/>
        <v>0</v>
      </c>
      <c r="Q153" s="244"/>
      <c r="R153" s="244"/>
      <c r="S153" s="244"/>
      <c r="T153" s="244"/>
      <c r="U153" s="244"/>
    </row>
    <row r="154" spans="3:21" ht="12.5">
      <c r="C154" s="496">
        <f>IF(D94="","-",+C153+1)</f>
        <v>2068</v>
      </c>
      <c r="D154" s="350">
        <f>IF(F153+SUM(E$100:E153)=D$93,F153,D$93-SUM(E$100:E153))</f>
        <v>0</v>
      </c>
      <c r="E154" s="510">
        <f t="shared" si="41"/>
        <v>0</v>
      </c>
      <c r="F154" s="511">
        <f t="shared" si="42"/>
        <v>0</v>
      </c>
      <c r="G154" s="511">
        <f t="shared" si="43"/>
        <v>0</v>
      </c>
      <c r="H154" s="645">
        <f t="shared" si="44"/>
        <v>0</v>
      </c>
      <c r="I154" s="573">
        <f t="shared" si="45"/>
        <v>0</v>
      </c>
      <c r="J154" s="505">
        <f t="shared" si="29"/>
        <v>0</v>
      </c>
      <c r="K154" s="505"/>
      <c r="L154" s="513"/>
      <c r="M154" s="505">
        <f t="shared" si="47"/>
        <v>0</v>
      </c>
      <c r="N154" s="513"/>
      <c r="O154" s="505">
        <f t="shared" si="48"/>
        <v>0</v>
      </c>
      <c r="P154" s="505">
        <f t="shared" si="49"/>
        <v>0</v>
      </c>
      <c r="Q154" s="244"/>
      <c r="R154" s="244"/>
      <c r="S154" s="244"/>
      <c r="T154" s="244"/>
      <c r="U154" s="244"/>
    </row>
    <row r="155" spans="3:21" ht="13" thickBot="1">
      <c r="C155" s="525">
        <f>IF(D94="","-",+C154+1)</f>
        <v>2069</v>
      </c>
      <c r="D155" s="619">
        <f>IF(F154+SUM(E$100:E154)=D$93,F154,D$93-SUM(E$100:E154))</f>
        <v>0</v>
      </c>
      <c r="E155" s="527">
        <f t="shared" si="41"/>
        <v>0</v>
      </c>
      <c r="F155" s="528">
        <f t="shared" si="42"/>
        <v>0</v>
      </c>
      <c r="G155" s="528">
        <f t="shared" si="43"/>
        <v>0</v>
      </c>
      <c r="H155" s="645">
        <f t="shared" si="44"/>
        <v>0</v>
      </c>
      <c r="I155" s="574">
        <f t="shared" si="45"/>
        <v>0</v>
      </c>
      <c r="J155" s="532">
        <f t="shared" si="29"/>
        <v>0</v>
      </c>
      <c r="K155" s="505"/>
      <c r="L155" s="531"/>
      <c r="M155" s="532">
        <f t="shared" si="47"/>
        <v>0</v>
      </c>
      <c r="N155" s="531"/>
      <c r="O155" s="532">
        <f t="shared" si="48"/>
        <v>0</v>
      </c>
      <c r="P155" s="532">
        <f t="shared" si="49"/>
        <v>0</v>
      </c>
      <c r="Q155" s="244"/>
      <c r="R155" s="244"/>
      <c r="S155" s="244"/>
      <c r="T155" s="244"/>
      <c r="U155" s="244"/>
    </row>
    <row r="156" spans="3:21" ht="12.5">
      <c r="C156" s="350" t="s">
        <v>75</v>
      </c>
      <c r="D156" s="295"/>
      <c r="E156" s="295">
        <f>SUM(E100:E155)</f>
        <v>1864624.9999999998</v>
      </c>
      <c r="F156" s="295"/>
      <c r="G156" s="295"/>
      <c r="H156" s="295">
        <f>SUM(H100:H155)</f>
        <v>4518956.2149193129</v>
      </c>
      <c r="I156" s="295">
        <f>SUM(I100:I155)</f>
        <v>4518956.2149193129</v>
      </c>
      <c r="J156" s="295">
        <f>SUM(J100:J155)</f>
        <v>0</v>
      </c>
      <c r="K156" s="295"/>
      <c r="L156" s="295"/>
      <c r="M156" s="295"/>
      <c r="N156" s="295"/>
      <c r="O156" s="295"/>
      <c r="P156" s="244"/>
      <c r="Q156" s="244"/>
      <c r="R156" s="244"/>
      <c r="S156" s="244"/>
      <c r="T156" s="244"/>
      <c r="U156" s="244"/>
    </row>
    <row r="157" spans="3: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3:21" ht="12.5">
      <c r="C158" s="575"/>
      <c r="D158" s="293"/>
      <c r="E158" s="244"/>
      <c r="F158" s="244"/>
      <c r="G158" s="244"/>
      <c r="H158" s="244"/>
      <c r="I158" s="326"/>
      <c r="J158" s="326"/>
      <c r="K158" s="295"/>
      <c r="L158" s="326"/>
      <c r="M158" s="326"/>
      <c r="N158" s="326"/>
      <c r="O158" s="326"/>
      <c r="P158" s="244"/>
      <c r="Q158" s="244"/>
      <c r="R158" s="244"/>
      <c r="S158" s="244"/>
      <c r="T158" s="244"/>
      <c r="U158" s="244"/>
    </row>
    <row r="159" spans="3: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3: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45" priority="1" stopIfTrue="1" operator="equal">
      <formula>$I$10</formula>
    </cfRule>
  </conditionalFormatting>
  <conditionalFormatting sqref="C100:C155">
    <cfRule type="cellIs" dxfId="44"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
  <dimension ref="A1:U163"/>
  <sheetViews>
    <sheetView topLeftCell="A74" zoomScaleNormal="100" zoomScaleSheetLayoutView="78"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9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1061934.9640688223</v>
      </c>
      <c r="P5" s="244"/>
      <c r="R5" s="244"/>
      <c r="S5" s="244"/>
      <c r="T5" s="244"/>
      <c r="U5" s="244"/>
    </row>
    <row r="6" spans="1:21" ht="15.5">
      <c r="C6" s="236"/>
      <c r="D6" s="293"/>
      <c r="E6" s="244"/>
      <c r="F6" s="244"/>
      <c r="G6" s="244"/>
      <c r="H6" s="450"/>
      <c r="I6" s="450"/>
      <c r="J6" s="451"/>
      <c r="K6" s="452" t="s">
        <v>243</v>
      </c>
      <c r="L6" s="453"/>
      <c r="M6" s="279"/>
      <c r="N6" s="454">
        <f>VLOOKUP(I10,C17:I73,6)</f>
        <v>1061934.9640688223</v>
      </c>
      <c r="O6" s="244"/>
      <c r="P6" s="244"/>
      <c r="R6" s="244"/>
      <c r="S6" s="244"/>
      <c r="T6" s="244"/>
      <c r="U6" s="244"/>
    </row>
    <row r="7" spans="1:21" ht="13.5" thickBot="1">
      <c r="C7" s="455" t="s">
        <v>46</v>
      </c>
      <c r="D7" s="456" t="s">
        <v>220</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219</v>
      </c>
      <c r="E9" s="466"/>
      <c r="F9" s="466"/>
      <c r="G9" s="466"/>
      <c r="H9" s="466"/>
      <c r="I9" s="467"/>
      <c r="J9" s="468"/>
      <c r="O9" s="469"/>
      <c r="P9" s="279"/>
      <c r="R9" s="244"/>
      <c r="S9" s="244"/>
      <c r="T9" s="244"/>
      <c r="U9" s="244"/>
    </row>
    <row r="10" spans="1:21" ht="13">
      <c r="C10" s="470" t="s">
        <v>49</v>
      </c>
      <c r="D10" s="471">
        <v>8535104</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2015</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0.11475877389767174</v>
      </c>
      <c r="J12" s="414"/>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258639.51515151514</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2015</v>
      </c>
      <c r="D17" s="613">
        <v>7400000</v>
      </c>
      <c r="E17" s="621">
        <v>74674.92363561083</v>
      </c>
      <c r="F17" s="613">
        <v>7325325.0763643896</v>
      </c>
      <c r="G17" s="621">
        <v>578000.14938532724</v>
      </c>
      <c r="H17" s="618">
        <v>578000.14938532724</v>
      </c>
      <c r="I17" s="501">
        <v>0</v>
      </c>
      <c r="J17" s="501"/>
      <c r="K17" s="507">
        <f t="shared" ref="K17:K22" si="1">G17</f>
        <v>578000.14938532724</v>
      </c>
      <c r="L17" s="508">
        <f t="shared" ref="L17:L22" si="2">IF(K17&lt;&gt;0,+G17-K17,0)</f>
        <v>0</v>
      </c>
      <c r="M17" s="507">
        <f t="shared" ref="M17:M22" si="3">H17</f>
        <v>578000.14938532724</v>
      </c>
      <c r="N17" s="505">
        <f>IF(M17&lt;&gt;0,+H17-M17,0)</f>
        <v>0</v>
      </c>
      <c r="O17" s="505">
        <f>+N17-L17</f>
        <v>0</v>
      </c>
      <c r="P17" s="279"/>
      <c r="R17" s="244"/>
      <c r="S17" s="244"/>
      <c r="T17" s="244"/>
      <c r="U17" s="244"/>
    </row>
    <row r="18" spans="2:21" ht="12.5">
      <c r="B18" s="145" t="str">
        <f t="shared" si="0"/>
        <v>IU</v>
      </c>
      <c r="C18" s="496">
        <f>IF(D11="","-",+C17+1)</f>
        <v>2016</v>
      </c>
      <c r="D18" s="618">
        <v>8381815.0763643896</v>
      </c>
      <c r="E18" s="618">
        <v>175721.24624335562</v>
      </c>
      <c r="F18" s="618">
        <v>8206093.8301210338</v>
      </c>
      <c r="G18" s="618">
        <v>1060997.6854975934</v>
      </c>
      <c r="H18" s="618">
        <v>1060997.6854975934</v>
      </c>
      <c r="I18" s="501">
        <f>H18-G18</f>
        <v>0</v>
      </c>
      <c r="J18" s="501"/>
      <c r="K18" s="507">
        <f t="shared" si="1"/>
        <v>1060997.6854975934</v>
      </c>
      <c r="L18" s="508">
        <f t="shared" si="2"/>
        <v>0</v>
      </c>
      <c r="M18" s="507">
        <f t="shared" si="3"/>
        <v>1060997.6854975934</v>
      </c>
      <c r="N18" s="505">
        <f t="shared" ref="N18:N73" si="4">IF(M18&lt;&gt;0,+H18-M18,0)</f>
        <v>0</v>
      </c>
      <c r="O18" s="505">
        <f t="shared" ref="O18:O73" si="5">+N18-L18</f>
        <v>0</v>
      </c>
      <c r="P18" s="279"/>
      <c r="R18" s="244"/>
      <c r="S18" s="244"/>
      <c r="T18" s="244"/>
      <c r="U18" s="244"/>
    </row>
    <row r="19" spans="2:21" ht="12.5">
      <c r="B19" s="145" t="str">
        <f t="shared" si="0"/>
        <v>IU</v>
      </c>
      <c r="C19" s="496">
        <f>IF(D11="","-",+C18+1)</f>
        <v>2017</v>
      </c>
      <c r="D19" s="618">
        <v>8284707.8301210338</v>
      </c>
      <c r="E19" s="618">
        <v>167817.04229981007</v>
      </c>
      <c r="F19" s="618">
        <v>8116890.787821224</v>
      </c>
      <c r="G19" s="618">
        <v>1069412.6916216947</v>
      </c>
      <c r="H19" s="618">
        <v>1069412.6916216947</v>
      </c>
      <c r="I19" s="501">
        <f t="shared" ref="I19:I73" si="6">H19-G19</f>
        <v>0</v>
      </c>
      <c r="J19" s="501"/>
      <c r="K19" s="507">
        <f t="shared" si="1"/>
        <v>1069412.6916216947</v>
      </c>
      <c r="L19" s="508">
        <f t="shared" si="2"/>
        <v>0</v>
      </c>
      <c r="M19" s="507">
        <f t="shared" si="3"/>
        <v>1069412.6916216947</v>
      </c>
      <c r="N19" s="505">
        <f>IF(M19&lt;&gt;0,+H19-M19,0)</f>
        <v>0</v>
      </c>
      <c r="O19" s="505">
        <f>+N19-L19</f>
        <v>0</v>
      </c>
      <c r="P19" s="279"/>
      <c r="R19" s="244"/>
      <c r="S19" s="244"/>
      <c r="T19" s="244"/>
      <c r="U19" s="244"/>
    </row>
    <row r="20" spans="2:21" ht="12.5">
      <c r="B20" s="145" t="str">
        <f t="shared" si="0"/>
        <v/>
      </c>
      <c r="C20" s="496">
        <f>IF(D11="","-",+C19+1)</f>
        <v>2018</v>
      </c>
      <c r="D20" s="618">
        <v>8116890.787821224</v>
      </c>
      <c r="E20" s="618">
        <v>209319.85738284502</v>
      </c>
      <c r="F20" s="618">
        <v>7907570.9304383788</v>
      </c>
      <c r="G20" s="618">
        <v>1023551.998916439</v>
      </c>
      <c r="H20" s="618">
        <v>1023551.998916439</v>
      </c>
      <c r="I20" s="501">
        <v>0</v>
      </c>
      <c r="J20" s="501"/>
      <c r="K20" s="507">
        <f t="shared" si="1"/>
        <v>1023551.998916439</v>
      </c>
      <c r="L20" s="508">
        <f t="shared" si="2"/>
        <v>0</v>
      </c>
      <c r="M20" s="507">
        <f t="shared" si="3"/>
        <v>1023551.998916439</v>
      </c>
      <c r="N20" s="505">
        <f>IF(M20&lt;&gt;0,+H20-M20,0)</f>
        <v>0</v>
      </c>
      <c r="O20" s="505">
        <f>+N20-L20</f>
        <v>0</v>
      </c>
      <c r="P20" s="279"/>
      <c r="R20" s="244"/>
      <c r="S20" s="244"/>
      <c r="T20" s="244"/>
      <c r="U20" s="244"/>
    </row>
    <row r="21" spans="2:21" ht="12.5">
      <c r="B21" s="145" t="str">
        <f t="shared" si="0"/>
        <v/>
      </c>
      <c r="C21" s="496">
        <f>IF(D11="","-",+C20+1)</f>
        <v>2019</v>
      </c>
      <c r="D21" s="618">
        <v>7907570.9304383788</v>
      </c>
      <c r="E21" s="618">
        <v>253141.34300077427</v>
      </c>
      <c r="F21" s="618">
        <v>7654429.5874376046</v>
      </c>
      <c r="G21" s="618">
        <v>1061867.1098044377</v>
      </c>
      <c r="H21" s="618">
        <v>1061867.1098044377</v>
      </c>
      <c r="I21" s="501">
        <f t="shared" si="6"/>
        <v>0</v>
      </c>
      <c r="J21" s="501"/>
      <c r="K21" s="507">
        <f t="shared" si="1"/>
        <v>1061867.1098044377</v>
      </c>
      <c r="L21" s="508">
        <f t="shared" si="2"/>
        <v>0</v>
      </c>
      <c r="M21" s="507">
        <f t="shared" si="3"/>
        <v>1061867.1098044377</v>
      </c>
      <c r="N21" s="505">
        <f>IF(M21&lt;&gt;0,+H21-M21,0)</f>
        <v>0</v>
      </c>
      <c r="O21" s="505">
        <f>+N21-L21</f>
        <v>0</v>
      </c>
      <c r="P21" s="279"/>
      <c r="R21" s="244"/>
      <c r="S21" s="244"/>
      <c r="T21" s="244"/>
      <c r="U21" s="244"/>
    </row>
    <row r="22" spans="2:21" ht="12.5">
      <c r="B22" s="145" t="str">
        <f t="shared" si="0"/>
        <v>IU</v>
      </c>
      <c r="C22" s="496">
        <f>IF(D11="","-",+C21+1)</f>
        <v>2020</v>
      </c>
      <c r="D22" s="618">
        <v>7698251.0730555337</v>
      </c>
      <c r="E22" s="618">
        <v>249923.04161572127</v>
      </c>
      <c r="F22" s="618">
        <v>7448328.0314398129</v>
      </c>
      <c r="G22" s="618">
        <v>1044606.9924692181</v>
      </c>
      <c r="H22" s="618">
        <v>1044606.9924692181</v>
      </c>
      <c r="I22" s="501">
        <f t="shared" si="6"/>
        <v>0</v>
      </c>
      <c r="J22" s="501"/>
      <c r="K22" s="507">
        <f t="shared" si="1"/>
        <v>1044606.9924692181</v>
      </c>
      <c r="L22" s="508">
        <f t="shared" si="2"/>
        <v>0</v>
      </c>
      <c r="M22" s="507">
        <f t="shared" si="3"/>
        <v>1044606.9924692181</v>
      </c>
      <c r="N22" s="505">
        <f t="shared" si="4"/>
        <v>0</v>
      </c>
      <c r="O22" s="505">
        <f t="shared" si="5"/>
        <v>0</v>
      </c>
      <c r="P22" s="279"/>
      <c r="R22" s="244"/>
      <c r="S22" s="244"/>
      <c r="T22" s="244"/>
      <c r="U22" s="244"/>
    </row>
    <row r="23" spans="2:21" ht="12.5">
      <c r="B23" s="145" t="str">
        <f t="shared" si="0"/>
        <v>IU</v>
      </c>
      <c r="C23" s="496">
        <f>IF(D11="","-",+C22+1)</f>
        <v>2021</v>
      </c>
      <c r="D23" s="618">
        <v>7404506.5458218828</v>
      </c>
      <c r="E23" s="618">
        <v>275325.93548387097</v>
      </c>
      <c r="F23" s="618">
        <v>7129180.6103380118</v>
      </c>
      <c r="G23" s="618">
        <v>1061489.8962062567</v>
      </c>
      <c r="H23" s="618">
        <v>1061489.8962062567</v>
      </c>
      <c r="I23" s="501">
        <f t="shared" si="6"/>
        <v>0</v>
      </c>
      <c r="J23" s="501"/>
      <c r="K23" s="507">
        <f t="shared" ref="K23" si="7">G23</f>
        <v>1061489.8962062567</v>
      </c>
      <c r="L23" s="508">
        <f t="shared" ref="L23" si="8">IF(K23&lt;&gt;0,+G23-K23,0)</f>
        <v>0</v>
      </c>
      <c r="M23" s="507">
        <f t="shared" ref="M23" si="9">H23</f>
        <v>1061489.8962062567</v>
      </c>
      <c r="N23" s="505">
        <f t="shared" si="4"/>
        <v>0</v>
      </c>
      <c r="O23" s="505">
        <f t="shared" si="5"/>
        <v>0</v>
      </c>
      <c r="P23" s="279"/>
      <c r="R23" s="244"/>
      <c r="S23" s="244"/>
      <c r="T23" s="244"/>
      <c r="U23" s="244"/>
    </row>
    <row r="24" spans="2:21" ht="12.5">
      <c r="B24" s="145" t="str">
        <f t="shared" si="0"/>
        <v/>
      </c>
      <c r="C24" s="496">
        <f>IF(D11="","-",+C23+1)</f>
        <v>2022</v>
      </c>
      <c r="D24" s="618">
        <v>7129180.6103380118</v>
      </c>
      <c r="E24" s="618">
        <v>258639.51515151514</v>
      </c>
      <c r="F24" s="618">
        <v>6870541.0951864962</v>
      </c>
      <c r="G24" s="618">
        <v>1061934.9640688223</v>
      </c>
      <c r="H24" s="618">
        <v>1061934.9640688223</v>
      </c>
      <c r="I24" s="501">
        <f t="shared" si="6"/>
        <v>0</v>
      </c>
      <c r="J24" s="501"/>
      <c r="K24" s="507">
        <f t="shared" ref="K24" si="10">G24</f>
        <v>1061934.9640688223</v>
      </c>
      <c r="L24" s="508">
        <f t="shared" ref="L24" si="11">IF(K24&lt;&gt;0,+G24-K24,0)</f>
        <v>0</v>
      </c>
      <c r="M24" s="507">
        <f t="shared" ref="M24" si="12">H24</f>
        <v>1061934.9640688223</v>
      </c>
      <c r="N24" s="505">
        <f t="shared" si="4"/>
        <v>0</v>
      </c>
      <c r="O24" s="505">
        <f t="shared" si="5"/>
        <v>0</v>
      </c>
      <c r="P24" s="279"/>
      <c r="R24" s="244"/>
      <c r="S24" s="244"/>
      <c r="T24" s="244"/>
      <c r="U24" s="244"/>
    </row>
    <row r="25" spans="2:21" ht="12.5">
      <c r="B25" s="145" t="str">
        <f t="shared" si="0"/>
        <v/>
      </c>
      <c r="C25" s="496">
        <f>IF(D11="","-",+C24+1)</f>
        <v>2023</v>
      </c>
      <c r="D25" s="618">
        <v>6870541.0951864962</v>
      </c>
      <c r="E25" s="618">
        <v>275325.93548387097</v>
      </c>
      <c r="F25" s="618">
        <v>6595215.1597026251</v>
      </c>
      <c r="G25" s="618">
        <v>1036362.3728391449</v>
      </c>
      <c r="H25" s="618">
        <v>1036362.3728391449</v>
      </c>
      <c r="I25" s="501">
        <f t="shared" si="6"/>
        <v>0</v>
      </c>
      <c r="J25" s="501"/>
      <c r="K25" s="507">
        <f t="shared" ref="K25" si="13">G25</f>
        <v>1036362.3728391449</v>
      </c>
      <c r="L25" s="508">
        <f t="shared" ref="L25" si="14">IF(K25&lt;&gt;0,+G25-K25,0)</f>
        <v>0</v>
      </c>
      <c r="M25" s="507">
        <f t="shared" ref="M25" si="15">H25</f>
        <v>1036362.3728391449</v>
      </c>
      <c r="N25" s="505">
        <f t="shared" si="4"/>
        <v>0</v>
      </c>
      <c r="O25" s="505">
        <f t="shared" si="5"/>
        <v>0</v>
      </c>
      <c r="P25" s="279"/>
      <c r="R25" s="244"/>
      <c r="S25" s="244"/>
      <c r="T25" s="244"/>
      <c r="U25" s="244"/>
    </row>
    <row r="26" spans="2:21" ht="12.5">
      <c r="B26" s="145" t="str">
        <f t="shared" si="0"/>
        <v/>
      </c>
      <c r="C26" s="496">
        <f>IF(D11="","-",+C25+1)</f>
        <v>2024</v>
      </c>
      <c r="D26" s="509">
        <f>IF(F25+SUM(E$17:E25)=D$10,F25,D$10-SUM(E$17:E25))</f>
        <v>6595215.1597026251</v>
      </c>
      <c r="E26" s="510">
        <f t="shared" ref="E26:E73" si="16">IF(+$I$14&lt;F25,$I$14,D26)</f>
        <v>258639.51515151514</v>
      </c>
      <c r="F26" s="511">
        <f t="shared" ref="F26:F73" si="17">+D26-E26</f>
        <v>6336575.6445511095</v>
      </c>
      <c r="G26" s="512">
        <f t="shared" ref="G26:G73" si="18">(D26+F26)/2*I$12+E26</f>
        <v>1000657.7436501876</v>
      </c>
      <c r="H26" s="478">
        <f t="shared" ref="H26:H73" si="19">+(D26+F26)/2*I$13+E26</f>
        <v>1000657.7436501876</v>
      </c>
      <c r="I26" s="501">
        <f t="shared" si="6"/>
        <v>0</v>
      </c>
      <c r="J26" s="501"/>
      <c r="K26" s="513"/>
      <c r="L26" s="505">
        <f t="shared" ref="L26:L73" si="20">IF(K26&lt;&gt;0,+G26-K26,0)</f>
        <v>0</v>
      </c>
      <c r="M26" s="513"/>
      <c r="N26" s="505">
        <f t="shared" si="4"/>
        <v>0</v>
      </c>
      <c r="O26" s="505">
        <f t="shared" si="5"/>
        <v>0</v>
      </c>
      <c r="P26" s="279"/>
      <c r="R26" s="244"/>
      <c r="S26" s="244"/>
      <c r="T26" s="244"/>
      <c r="U26" s="244"/>
    </row>
    <row r="27" spans="2:21" ht="12.5">
      <c r="B27" s="145" t="str">
        <f t="shared" si="0"/>
        <v/>
      </c>
      <c r="C27" s="496">
        <f>IF(D11="","-",+C26+1)</f>
        <v>2025</v>
      </c>
      <c r="D27" s="509">
        <f>IF(F26+SUM(E$17:E26)=D$10,F26,D$10-SUM(E$17:E26))</f>
        <v>6336575.6445511095</v>
      </c>
      <c r="E27" s="510">
        <f t="shared" si="16"/>
        <v>258639.51515151514</v>
      </c>
      <c r="F27" s="511">
        <f t="shared" si="17"/>
        <v>6077936.1293995939</v>
      </c>
      <c r="G27" s="512">
        <f t="shared" si="18"/>
        <v>970976.59000991134</v>
      </c>
      <c r="H27" s="478">
        <f t="shared" si="19"/>
        <v>970976.59000991134</v>
      </c>
      <c r="I27" s="501">
        <f t="shared" si="6"/>
        <v>0</v>
      </c>
      <c r="J27" s="501"/>
      <c r="K27" s="513"/>
      <c r="L27" s="505">
        <f t="shared" si="20"/>
        <v>0</v>
      </c>
      <c r="M27" s="513"/>
      <c r="N27" s="505">
        <f t="shared" si="4"/>
        <v>0</v>
      </c>
      <c r="O27" s="505">
        <f t="shared" si="5"/>
        <v>0</v>
      </c>
      <c r="P27" s="279"/>
      <c r="R27" s="244"/>
      <c r="S27" s="244"/>
      <c r="T27" s="244"/>
      <c r="U27" s="244"/>
    </row>
    <row r="28" spans="2:21" ht="12.5">
      <c r="B28" s="145" t="str">
        <f t="shared" si="0"/>
        <v/>
      </c>
      <c r="C28" s="496">
        <f>IF(D11="","-",+C27+1)</f>
        <v>2026</v>
      </c>
      <c r="D28" s="509">
        <f>IF(F27+SUM(E$17:E27)=D$10,F27,D$10-SUM(E$17:E27))</f>
        <v>6077936.1293995939</v>
      </c>
      <c r="E28" s="510">
        <f t="shared" si="16"/>
        <v>258639.51515151514</v>
      </c>
      <c r="F28" s="511">
        <f t="shared" si="17"/>
        <v>5819296.6142480783</v>
      </c>
      <c r="G28" s="512">
        <f t="shared" si="18"/>
        <v>941295.43636963516</v>
      </c>
      <c r="H28" s="478">
        <f t="shared" si="19"/>
        <v>941295.43636963516</v>
      </c>
      <c r="I28" s="501">
        <f t="shared" si="6"/>
        <v>0</v>
      </c>
      <c r="J28" s="501"/>
      <c r="K28" s="513"/>
      <c r="L28" s="505">
        <f t="shared" si="20"/>
        <v>0</v>
      </c>
      <c r="M28" s="513"/>
      <c r="N28" s="505">
        <f t="shared" si="4"/>
        <v>0</v>
      </c>
      <c r="O28" s="505">
        <f t="shared" si="5"/>
        <v>0</v>
      </c>
      <c r="P28" s="279"/>
      <c r="R28" s="244"/>
      <c r="S28" s="244"/>
      <c r="T28" s="244"/>
      <c r="U28" s="244"/>
    </row>
    <row r="29" spans="2:21" ht="12.5">
      <c r="B29" s="145" t="str">
        <f t="shared" si="0"/>
        <v/>
      </c>
      <c r="C29" s="496">
        <f>IF(D11="","-",+C28+1)</f>
        <v>2027</v>
      </c>
      <c r="D29" s="509">
        <f>IF(F28+SUM(E$17:E28)=D$10,F28,D$10-SUM(E$17:E28))</f>
        <v>5819296.6142480783</v>
      </c>
      <c r="E29" s="510">
        <f t="shared" si="16"/>
        <v>258639.51515151514</v>
      </c>
      <c r="F29" s="511">
        <f t="shared" si="17"/>
        <v>5560657.0990965627</v>
      </c>
      <c r="G29" s="512">
        <f t="shared" si="18"/>
        <v>911614.28272935888</v>
      </c>
      <c r="H29" s="478">
        <f t="shared" si="19"/>
        <v>911614.28272935888</v>
      </c>
      <c r="I29" s="501">
        <f t="shared" si="6"/>
        <v>0</v>
      </c>
      <c r="J29" s="501"/>
      <c r="K29" s="513"/>
      <c r="L29" s="505">
        <f t="shared" si="20"/>
        <v>0</v>
      </c>
      <c r="M29" s="513"/>
      <c r="N29" s="505">
        <f t="shared" si="4"/>
        <v>0</v>
      </c>
      <c r="O29" s="505">
        <f t="shared" si="5"/>
        <v>0</v>
      </c>
      <c r="P29" s="279"/>
      <c r="R29" s="244"/>
      <c r="S29" s="244"/>
      <c r="T29" s="244"/>
      <c r="U29" s="244"/>
    </row>
    <row r="30" spans="2:21" ht="12.5">
      <c r="B30" s="145" t="str">
        <f t="shared" si="0"/>
        <v/>
      </c>
      <c r="C30" s="496">
        <f>IF(D11="","-",+C29+1)</f>
        <v>2028</v>
      </c>
      <c r="D30" s="509">
        <f>IF(F29+SUM(E$17:E29)=D$10,F29,D$10-SUM(E$17:E29))</f>
        <v>5560657.0990965627</v>
      </c>
      <c r="E30" s="510">
        <f t="shared" si="16"/>
        <v>258639.51515151514</v>
      </c>
      <c r="F30" s="511">
        <f t="shared" si="17"/>
        <v>5302017.5839450471</v>
      </c>
      <c r="G30" s="512">
        <f t="shared" si="18"/>
        <v>881933.12908908271</v>
      </c>
      <c r="H30" s="478">
        <f t="shared" si="19"/>
        <v>881933.12908908271</v>
      </c>
      <c r="I30" s="501">
        <f t="shared" si="6"/>
        <v>0</v>
      </c>
      <c r="J30" s="501"/>
      <c r="K30" s="513"/>
      <c r="L30" s="505">
        <f t="shared" si="20"/>
        <v>0</v>
      </c>
      <c r="M30" s="513"/>
      <c r="N30" s="505">
        <f t="shared" si="4"/>
        <v>0</v>
      </c>
      <c r="O30" s="505">
        <f t="shared" si="5"/>
        <v>0</v>
      </c>
      <c r="P30" s="279"/>
      <c r="R30" s="244"/>
      <c r="S30" s="244"/>
      <c r="T30" s="244"/>
      <c r="U30" s="244"/>
    </row>
    <row r="31" spans="2:21" ht="12.5">
      <c r="B31" s="145" t="str">
        <f>IF(D31=F30,"","IU")</f>
        <v/>
      </c>
      <c r="C31" s="496">
        <f>IF(D11="","-",+C30+1)</f>
        <v>2029</v>
      </c>
      <c r="D31" s="509">
        <f>IF(F30+SUM(E$17:E30)=D$10,F30,D$10-SUM(E$17:E30))</f>
        <v>5302017.5839450471</v>
      </c>
      <c r="E31" s="510">
        <f t="shared" si="16"/>
        <v>258639.51515151514</v>
      </c>
      <c r="F31" s="511">
        <f t="shared" si="17"/>
        <v>5043378.0687935315</v>
      </c>
      <c r="G31" s="512">
        <f t="shared" si="18"/>
        <v>852251.97544880642</v>
      </c>
      <c r="H31" s="478">
        <f t="shared" si="19"/>
        <v>852251.97544880642</v>
      </c>
      <c r="I31" s="501">
        <f t="shared" si="6"/>
        <v>0</v>
      </c>
      <c r="J31" s="501"/>
      <c r="K31" s="513"/>
      <c r="L31" s="505">
        <f t="shared" si="20"/>
        <v>0</v>
      </c>
      <c r="M31" s="513"/>
      <c r="N31" s="505">
        <f t="shared" si="4"/>
        <v>0</v>
      </c>
      <c r="O31" s="505">
        <f t="shared" si="5"/>
        <v>0</v>
      </c>
      <c r="P31" s="279"/>
      <c r="Q31" s="221"/>
      <c r="R31" s="279"/>
      <c r="S31" s="279"/>
      <c r="T31" s="279"/>
      <c r="U31" s="244"/>
    </row>
    <row r="32" spans="2:21" ht="12.5">
      <c r="B32" s="145" t="str">
        <f t="shared" ref="B32:B46" si="21">IF(D32=F31,"","IU")</f>
        <v/>
      </c>
      <c r="C32" s="496">
        <f>IF(D12="","-",+C31+1)</f>
        <v>2030</v>
      </c>
      <c r="D32" s="509">
        <f>IF(F31+SUM(E$17:E31)=D$10,F31,D$10-SUM(E$17:E31))</f>
        <v>5043378.0687935315</v>
      </c>
      <c r="E32" s="510">
        <f>IF(+$I$14&lt;F31,$I$14,D32)</f>
        <v>258639.51515151514</v>
      </c>
      <c r="F32" s="511">
        <f>+D32-E32</f>
        <v>4784738.5536420159</v>
      </c>
      <c r="G32" s="512">
        <f t="shared" si="18"/>
        <v>822570.82180853025</v>
      </c>
      <c r="H32" s="478">
        <f t="shared" si="19"/>
        <v>822570.82180853025</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21"/>
        <v/>
      </c>
      <c r="C33" s="496">
        <f>IF(D13="","-",+C32+1)</f>
        <v>2031</v>
      </c>
      <c r="D33" s="509">
        <f>IF(F32+SUM(E$17:E32)=D$10,F32,D$10-SUM(E$17:E32))</f>
        <v>4784738.5536420159</v>
      </c>
      <c r="E33" s="510">
        <f>IF(+$I$14&lt;F32,$I$14,D33)</f>
        <v>258639.51515151514</v>
      </c>
      <c r="F33" s="511">
        <f>+D33-E33</f>
        <v>4526099.0384905003</v>
      </c>
      <c r="G33" s="512">
        <f t="shared" si="18"/>
        <v>792889.66816825396</v>
      </c>
      <c r="H33" s="478">
        <f t="shared" si="19"/>
        <v>792889.66816825396</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21"/>
        <v/>
      </c>
      <c r="C34" s="496">
        <f t="shared" ref="C34:C42" si="22">IF(D14="","-",+C33+1)</f>
        <v>2032</v>
      </c>
      <c r="D34" s="515">
        <f>IF(F33+SUM(E$17:E33)=D$10,F33,D$10-SUM(E$17:E33))</f>
        <v>4526099.0384905003</v>
      </c>
      <c r="E34" s="516">
        <f t="shared" si="16"/>
        <v>258639.51515151514</v>
      </c>
      <c r="F34" s="517">
        <f t="shared" si="17"/>
        <v>4267459.5233389847</v>
      </c>
      <c r="G34" s="512">
        <f t="shared" si="18"/>
        <v>763208.51452797779</v>
      </c>
      <c r="H34" s="478">
        <f t="shared" si="19"/>
        <v>763208.51452797779</v>
      </c>
      <c r="I34" s="520">
        <f t="shared" si="6"/>
        <v>0</v>
      </c>
      <c r="J34" s="520"/>
      <c r="K34" s="521"/>
      <c r="L34" s="522">
        <f t="shared" si="20"/>
        <v>0</v>
      </c>
      <c r="M34" s="521"/>
      <c r="N34" s="522">
        <f t="shared" si="4"/>
        <v>0</v>
      </c>
      <c r="O34" s="522">
        <f t="shared" si="5"/>
        <v>0</v>
      </c>
      <c r="P34" s="523"/>
      <c r="Q34" s="217"/>
      <c r="R34" s="523"/>
      <c r="S34" s="523"/>
      <c r="T34" s="523"/>
      <c r="U34" s="244"/>
    </row>
    <row r="35" spans="2:21" ht="12.5">
      <c r="B35" s="145" t="str">
        <f t="shared" si="21"/>
        <v/>
      </c>
      <c r="C35" s="496">
        <f t="shared" si="22"/>
        <v>2033</v>
      </c>
      <c r="D35" s="509">
        <f>IF(F34+SUM(E$17:E34)=D$10,F34,D$10-SUM(E$17:E34))</f>
        <v>4267459.5233389847</v>
      </c>
      <c r="E35" s="510">
        <f t="shared" si="16"/>
        <v>258639.51515151514</v>
      </c>
      <c r="F35" s="511">
        <f t="shared" si="17"/>
        <v>4008820.0081874696</v>
      </c>
      <c r="G35" s="512">
        <f t="shared" si="18"/>
        <v>733527.36088770162</v>
      </c>
      <c r="H35" s="478">
        <f t="shared" si="19"/>
        <v>733527.36088770162</v>
      </c>
      <c r="I35" s="501">
        <f t="shared" si="6"/>
        <v>0</v>
      </c>
      <c r="J35" s="501"/>
      <c r="K35" s="513"/>
      <c r="L35" s="505">
        <f t="shared" si="20"/>
        <v>0</v>
      </c>
      <c r="M35" s="513"/>
      <c r="N35" s="505">
        <f t="shared" si="4"/>
        <v>0</v>
      </c>
      <c r="O35" s="505">
        <f t="shared" si="5"/>
        <v>0</v>
      </c>
      <c r="P35" s="279"/>
      <c r="R35" s="244"/>
      <c r="S35" s="244"/>
      <c r="T35" s="244"/>
      <c r="U35" s="244"/>
    </row>
    <row r="36" spans="2:21" ht="12.5">
      <c r="B36" s="145" t="str">
        <f t="shared" si="21"/>
        <v/>
      </c>
      <c r="C36" s="496">
        <f t="shared" si="22"/>
        <v>2034</v>
      </c>
      <c r="D36" s="509">
        <f>IF(F35+SUM(E$17:E35)=D$10,F35,D$10-SUM(E$17:E35))</f>
        <v>4008820.0081874747</v>
      </c>
      <c r="E36" s="510">
        <f t="shared" si="16"/>
        <v>258639.51515151514</v>
      </c>
      <c r="F36" s="511">
        <f t="shared" si="17"/>
        <v>3750180.4930359595</v>
      </c>
      <c r="G36" s="512">
        <f t="shared" si="18"/>
        <v>703846.20724742603</v>
      </c>
      <c r="H36" s="478">
        <f t="shared" si="19"/>
        <v>703846.20724742603</v>
      </c>
      <c r="I36" s="501">
        <f t="shared" si="6"/>
        <v>0</v>
      </c>
      <c r="J36" s="501"/>
      <c r="K36" s="513"/>
      <c r="L36" s="505">
        <f t="shared" si="20"/>
        <v>0</v>
      </c>
      <c r="M36" s="513"/>
      <c r="N36" s="505">
        <f t="shared" si="4"/>
        <v>0</v>
      </c>
      <c r="O36" s="505">
        <f t="shared" si="5"/>
        <v>0</v>
      </c>
      <c r="P36" s="279"/>
      <c r="R36" s="244"/>
      <c r="S36" s="244"/>
      <c r="T36" s="244"/>
      <c r="U36" s="244"/>
    </row>
    <row r="37" spans="2:21" ht="12.5">
      <c r="B37" s="145" t="str">
        <f t="shared" si="21"/>
        <v/>
      </c>
      <c r="C37" s="496">
        <f t="shared" si="22"/>
        <v>2035</v>
      </c>
      <c r="D37" s="509">
        <f>IF(F36+SUM(E$17:E36)=D$10,F36,D$10-SUM(E$17:E36))</f>
        <v>3750180.4930359595</v>
      </c>
      <c r="E37" s="510">
        <f t="shared" si="16"/>
        <v>258639.51515151514</v>
      </c>
      <c r="F37" s="511">
        <f t="shared" si="17"/>
        <v>3491540.9778844444</v>
      </c>
      <c r="G37" s="512">
        <f t="shared" si="18"/>
        <v>674165.05360714986</v>
      </c>
      <c r="H37" s="478">
        <f t="shared" si="19"/>
        <v>674165.05360714986</v>
      </c>
      <c r="I37" s="501">
        <f t="shared" si="6"/>
        <v>0</v>
      </c>
      <c r="J37" s="501"/>
      <c r="K37" s="513"/>
      <c r="L37" s="505">
        <f t="shared" si="20"/>
        <v>0</v>
      </c>
      <c r="M37" s="513"/>
      <c r="N37" s="505">
        <f t="shared" si="4"/>
        <v>0</v>
      </c>
      <c r="O37" s="505">
        <f t="shared" si="5"/>
        <v>0</v>
      </c>
      <c r="P37" s="279"/>
      <c r="R37" s="244"/>
      <c r="S37" s="244"/>
      <c r="T37" s="244"/>
      <c r="U37" s="244"/>
    </row>
    <row r="38" spans="2:21" ht="12.5">
      <c r="B38" s="145" t="str">
        <f t="shared" si="21"/>
        <v/>
      </c>
      <c r="C38" s="496">
        <f t="shared" si="22"/>
        <v>2036</v>
      </c>
      <c r="D38" s="509">
        <f>IF(F37+SUM(E$17:E37)=D$10,F37,D$10-SUM(E$17:E37))</f>
        <v>3491540.9778844444</v>
      </c>
      <c r="E38" s="510">
        <f t="shared" si="16"/>
        <v>258639.51515151514</v>
      </c>
      <c r="F38" s="511">
        <f t="shared" si="17"/>
        <v>3232901.4627329293</v>
      </c>
      <c r="G38" s="512">
        <f t="shared" si="18"/>
        <v>644483.89996687369</v>
      </c>
      <c r="H38" s="478">
        <f t="shared" si="19"/>
        <v>644483.89996687369</v>
      </c>
      <c r="I38" s="501">
        <f t="shared" si="6"/>
        <v>0</v>
      </c>
      <c r="J38" s="501"/>
      <c r="K38" s="513"/>
      <c r="L38" s="505">
        <f t="shared" si="20"/>
        <v>0</v>
      </c>
      <c r="M38" s="513"/>
      <c r="N38" s="505">
        <f t="shared" si="4"/>
        <v>0</v>
      </c>
      <c r="O38" s="505">
        <f t="shared" si="5"/>
        <v>0</v>
      </c>
      <c r="P38" s="279"/>
      <c r="R38" s="244"/>
      <c r="S38" s="244"/>
      <c r="T38" s="244"/>
      <c r="U38" s="244"/>
    </row>
    <row r="39" spans="2:21" ht="12.5">
      <c r="B39" s="145" t="str">
        <f t="shared" si="21"/>
        <v/>
      </c>
      <c r="C39" s="496">
        <f t="shared" si="22"/>
        <v>2037</v>
      </c>
      <c r="D39" s="509">
        <f>IF(F38+SUM(E$17:E38)=D$10,F38,D$10-SUM(E$17:E38))</f>
        <v>3232901.4627329293</v>
      </c>
      <c r="E39" s="510">
        <f t="shared" si="16"/>
        <v>258639.51515151514</v>
      </c>
      <c r="F39" s="511">
        <f t="shared" si="17"/>
        <v>2974261.9475814141</v>
      </c>
      <c r="G39" s="512">
        <f t="shared" si="18"/>
        <v>614802.74632659752</v>
      </c>
      <c r="H39" s="478">
        <f t="shared" si="19"/>
        <v>614802.74632659752</v>
      </c>
      <c r="I39" s="501">
        <f t="shared" si="6"/>
        <v>0</v>
      </c>
      <c r="J39" s="501"/>
      <c r="K39" s="513"/>
      <c r="L39" s="505">
        <f t="shared" si="20"/>
        <v>0</v>
      </c>
      <c r="M39" s="513"/>
      <c r="N39" s="505">
        <f t="shared" si="4"/>
        <v>0</v>
      </c>
      <c r="O39" s="505">
        <f t="shared" si="5"/>
        <v>0</v>
      </c>
      <c r="P39" s="279"/>
      <c r="R39" s="244"/>
      <c r="S39" s="244"/>
      <c r="T39" s="244"/>
      <c r="U39" s="244"/>
    </row>
    <row r="40" spans="2:21" ht="12.5">
      <c r="B40" s="145" t="str">
        <f t="shared" si="21"/>
        <v/>
      </c>
      <c r="C40" s="496">
        <f t="shared" si="22"/>
        <v>2038</v>
      </c>
      <c r="D40" s="509">
        <f>IF(F39+SUM(E$17:E39)=D$10,F39,D$10-SUM(E$17:E39))</f>
        <v>2974261.9475814141</v>
      </c>
      <c r="E40" s="510">
        <f t="shared" si="16"/>
        <v>258639.51515151514</v>
      </c>
      <c r="F40" s="511">
        <f t="shared" si="17"/>
        <v>2715622.432429899</v>
      </c>
      <c r="G40" s="512">
        <f t="shared" si="18"/>
        <v>585121.59268632135</v>
      </c>
      <c r="H40" s="478">
        <f t="shared" si="19"/>
        <v>585121.59268632135</v>
      </c>
      <c r="I40" s="501">
        <f t="shared" si="6"/>
        <v>0</v>
      </c>
      <c r="J40" s="501"/>
      <c r="K40" s="513"/>
      <c r="L40" s="505">
        <f t="shared" si="20"/>
        <v>0</v>
      </c>
      <c r="M40" s="513"/>
      <c r="N40" s="505">
        <f t="shared" si="4"/>
        <v>0</v>
      </c>
      <c r="O40" s="505">
        <f t="shared" si="5"/>
        <v>0</v>
      </c>
      <c r="P40" s="279"/>
      <c r="R40" s="244"/>
      <c r="S40" s="244"/>
      <c r="T40" s="244"/>
      <c r="U40" s="244"/>
    </row>
    <row r="41" spans="2:21" ht="12.5">
      <c r="B41" s="145" t="str">
        <f t="shared" si="21"/>
        <v/>
      </c>
      <c r="C41" s="496">
        <f t="shared" si="22"/>
        <v>2039</v>
      </c>
      <c r="D41" s="509">
        <f>IF(F40+SUM(E$17:E40)=D$10,F40,D$10-SUM(E$17:E40))</f>
        <v>2715622.432429899</v>
      </c>
      <c r="E41" s="510">
        <f t="shared" si="16"/>
        <v>258639.51515151514</v>
      </c>
      <c r="F41" s="511">
        <f t="shared" si="17"/>
        <v>2456982.9172783839</v>
      </c>
      <c r="G41" s="512">
        <f t="shared" si="18"/>
        <v>555440.43904604518</v>
      </c>
      <c r="H41" s="478">
        <f t="shared" si="19"/>
        <v>555440.43904604518</v>
      </c>
      <c r="I41" s="501">
        <f t="shared" si="6"/>
        <v>0</v>
      </c>
      <c r="J41" s="501"/>
      <c r="K41" s="513"/>
      <c r="L41" s="505">
        <f t="shared" si="20"/>
        <v>0</v>
      </c>
      <c r="M41" s="513"/>
      <c r="N41" s="505">
        <f t="shared" si="4"/>
        <v>0</v>
      </c>
      <c r="O41" s="505">
        <f t="shared" si="5"/>
        <v>0</v>
      </c>
      <c r="P41" s="279"/>
      <c r="R41" s="244"/>
      <c r="S41" s="244"/>
      <c r="T41" s="244"/>
      <c r="U41" s="244"/>
    </row>
    <row r="42" spans="2:21" ht="12.5">
      <c r="B42" s="145" t="str">
        <f t="shared" si="21"/>
        <v/>
      </c>
      <c r="C42" s="496">
        <f t="shared" si="22"/>
        <v>2040</v>
      </c>
      <c r="D42" s="509">
        <f>IF(F41+SUM(E$17:E41)=D$10,F41,D$10-SUM(E$17:E41))</f>
        <v>2456982.9172783839</v>
      </c>
      <c r="E42" s="510">
        <f t="shared" si="16"/>
        <v>258639.51515151514</v>
      </c>
      <c r="F42" s="511">
        <f t="shared" si="17"/>
        <v>2198343.4021268687</v>
      </c>
      <c r="G42" s="512">
        <f t="shared" si="18"/>
        <v>525759.28540576901</v>
      </c>
      <c r="H42" s="478">
        <f t="shared" si="19"/>
        <v>525759.28540576901</v>
      </c>
      <c r="I42" s="501">
        <f t="shared" si="6"/>
        <v>0</v>
      </c>
      <c r="J42" s="501"/>
      <c r="K42" s="513"/>
      <c r="L42" s="505">
        <f t="shared" si="20"/>
        <v>0</v>
      </c>
      <c r="M42" s="513"/>
      <c r="N42" s="505">
        <f t="shared" si="4"/>
        <v>0</v>
      </c>
      <c r="O42" s="505">
        <f t="shared" si="5"/>
        <v>0</v>
      </c>
      <c r="P42" s="279"/>
      <c r="R42" s="244"/>
      <c r="S42" s="244"/>
      <c r="T42" s="244"/>
      <c r="U42" s="244"/>
    </row>
    <row r="43" spans="2:21" ht="12.5">
      <c r="B43" s="145" t="str">
        <f t="shared" si="21"/>
        <v/>
      </c>
      <c r="C43" s="496">
        <f>IF(D11="","-",+C42+1)</f>
        <v>2041</v>
      </c>
      <c r="D43" s="509">
        <f>IF(F42+SUM(E$17:E42)=D$10,F42,D$10-SUM(E$17:E42))</f>
        <v>2198343.4021268687</v>
      </c>
      <c r="E43" s="510">
        <f t="shared" si="16"/>
        <v>258639.51515151514</v>
      </c>
      <c r="F43" s="511">
        <f t="shared" si="17"/>
        <v>1939703.8869753536</v>
      </c>
      <c r="G43" s="512">
        <f t="shared" si="18"/>
        <v>496078.13176549284</v>
      </c>
      <c r="H43" s="478">
        <f t="shared" si="19"/>
        <v>496078.13176549284</v>
      </c>
      <c r="I43" s="501">
        <f t="shared" si="6"/>
        <v>0</v>
      </c>
      <c r="J43" s="501"/>
      <c r="K43" s="513"/>
      <c r="L43" s="505">
        <f t="shared" si="20"/>
        <v>0</v>
      </c>
      <c r="M43" s="513"/>
      <c r="N43" s="505">
        <f t="shared" si="4"/>
        <v>0</v>
      </c>
      <c r="O43" s="505">
        <f t="shared" si="5"/>
        <v>0</v>
      </c>
      <c r="P43" s="279"/>
      <c r="R43" s="244"/>
      <c r="S43" s="244"/>
      <c r="T43" s="244"/>
      <c r="U43" s="244"/>
    </row>
    <row r="44" spans="2:21" ht="12.5">
      <c r="B44" s="145" t="str">
        <f t="shared" si="21"/>
        <v/>
      </c>
      <c r="C44" s="496">
        <f>IF(D11="","-",+C43+1)</f>
        <v>2042</v>
      </c>
      <c r="D44" s="509">
        <f>IF(F43+SUM(E$17:E43)=D$10,F43,D$10-SUM(E$17:E43))</f>
        <v>1939703.8869753536</v>
      </c>
      <c r="E44" s="510">
        <f t="shared" si="16"/>
        <v>258639.51515151514</v>
      </c>
      <c r="F44" s="511">
        <f t="shared" si="17"/>
        <v>1681064.3718238384</v>
      </c>
      <c r="G44" s="512">
        <f t="shared" si="18"/>
        <v>466396.97812521667</v>
      </c>
      <c r="H44" s="478">
        <f t="shared" si="19"/>
        <v>466396.97812521667</v>
      </c>
      <c r="I44" s="501">
        <f t="shared" si="6"/>
        <v>0</v>
      </c>
      <c r="J44" s="501"/>
      <c r="K44" s="513"/>
      <c r="L44" s="505">
        <f t="shared" si="20"/>
        <v>0</v>
      </c>
      <c r="M44" s="513"/>
      <c r="N44" s="505">
        <f t="shared" si="4"/>
        <v>0</v>
      </c>
      <c r="O44" s="505">
        <f t="shared" si="5"/>
        <v>0</v>
      </c>
      <c r="P44" s="279"/>
      <c r="R44" s="244"/>
      <c r="S44" s="244"/>
      <c r="T44" s="244"/>
      <c r="U44" s="244"/>
    </row>
    <row r="45" spans="2:21" ht="12.5">
      <c r="B45" s="145" t="str">
        <f t="shared" si="21"/>
        <v/>
      </c>
      <c r="C45" s="496">
        <f>IF(D11="","-",+C44+1)</f>
        <v>2043</v>
      </c>
      <c r="D45" s="509">
        <f>IF(F44+SUM(E$17:E44)=D$10,F44,D$10-SUM(E$17:E44))</f>
        <v>1681064.3718238384</v>
      </c>
      <c r="E45" s="510">
        <f t="shared" si="16"/>
        <v>258639.51515151514</v>
      </c>
      <c r="F45" s="511">
        <f t="shared" si="17"/>
        <v>1422424.8566723233</v>
      </c>
      <c r="G45" s="512">
        <f t="shared" si="18"/>
        <v>436715.8244849405</v>
      </c>
      <c r="H45" s="478">
        <f t="shared" si="19"/>
        <v>436715.8244849405</v>
      </c>
      <c r="I45" s="501">
        <f t="shared" si="6"/>
        <v>0</v>
      </c>
      <c r="J45" s="501"/>
      <c r="K45" s="513"/>
      <c r="L45" s="505">
        <f t="shared" si="20"/>
        <v>0</v>
      </c>
      <c r="M45" s="513"/>
      <c r="N45" s="505">
        <f t="shared" si="4"/>
        <v>0</v>
      </c>
      <c r="O45" s="505">
        <f t="shared" si="5"/>
        <v>0</v>
      </c>
      <c r="P45" s="279"/>
      <c r="R45" s="244"/>
      <c r="S45" s="244"/>
      <c r="T45" s="244"/>
      <c r="U45" s="244"/>
    </row>
    <row r="46" spans="2:21" ht="12.5">
      <c r="B46" s="145" t="str">
        <f t="shared" si="21"/>
        <v/>
      </c>
      <c r="C46" s="496">
        <f>IF(D11="","-",+C45+1)</f>
        <v>2044</v>
      </c>
      <c r="D46" s="509">
        <f>IF(F45+SUM(E$17:E45)=D$10,F45,D$10-SUM(E$17:E45))</f>
        <v>1422424.8566723233</v>
      </c>
      <c r="E46" s="510">
        <f t="shared" si="16"/>
        <v>258639.51515151514</v>
      </c>
      <c r="F46" s="511">
        <f t="shared" si="17"/>
        <v>1163785.3415208082</v>
      </c>
      <c r="G46" s="512">
        <f t="shared" si="18"/>
        <v>407034.67084466433</v>
      </c>
      <c r="H46" s="478">
        <f t="shared" si="19"/>
        <v>407034.67084466433</v>
      </c>
      <c r="I46" s="501">
        <f t="shared" si="6"/>
        <v>0</v>
      </c>
      <c r="J46" s="501"/>
      <c r="K46" s="513"/>
      <c r="L46" s="505">
        <f t="shared" si="20"/>
        <v>0</v>
      </c>
      <c r="M46" s="513"/>
      <c r="N46" s="505">
        <f t="shared" si="4"/>
        <v>0</v>
      </c>
      <c r="O46" s="505">
        <f t="shared" si="5"/>
        <v>0</v>
      </c>
      <c r="P46" s="279"/>
      <c r="R46" s="244"/>
      <c r="S46" s="244"/>
      <c r="T46" s="244"/>
      <c r="U46" s="244"/>
    </row>
    <row r="47" spans="2:21" ht="12.5">
      <c r="B47" s="145" t="str">
        <f t="shared" si="0"/>
        <v>IU</v>
      </c>
      <c r="C47" s="496">
        <f>IF(D11="","-",+C46+1)</f>
        <v>2045</v>
      </c>
      <c r="D47" s="509">
        <f>IF(F46+SUM(E$17:E46)=D$10,F46,D$10-SUM(E$17:E46))</f>
        <v>1163785.341520803</v>
      </c>
      <c r="E47" s="510">
        <f t="shared" si="16"/>
        <v>258639.51515151514</v>
      </c>
      <c r="F47" s="511">
        <f t="shared" si="17"/>
        <v>905145.82636928791</v>
      </c>
      <c r="G47" s="512">
        <f t="shared" si="18"/>
        <v>377353.51720438758</v>
      </c>
      <c r="H47" s="478">
        <f t="shared" si="19"/>
        <v>377353.51720438758</v>
      </c>
      <c r="I47" s="501">
        <f t="shared" si="6"/>
        <v>0</v>
      </c>
      <c r="J47" s="501"/>
      <c r="K47" s="513"/>
      <c r="L47" s="505">
        <f t="shared" si="20"/>
        <v>0</v>
      </c>
      <c r="M47" s="513"/>
      <c r="N47" s="505">
        <f t="shared" si="4"/>
        <v>0</v>
      </c>
      <c r="O47" s="505">
        <f t="shared" si="5"/>
        <v>0</v>
      </c>
      <c r="P47" s="279"/>
      <c r="R47" s="244"/>
      <c r="S47" s="244"/>
      <c r="T47" s="244"/>
      <c r="U47" s="244"/>
    </row>
    <row r="48" spans="2:21" ht="12.5">
      <c r="B48" s="145" t="str">
        <f t="shared" si="0"/>
        <v/>
      </c>
      <c r="C48" s="496">
        <f>IF(D11="","-",+C47+1)</f>
        <v>2046</v>
      </c>
      <c r="D48" s="509">
        <f>IF(F47+SUM(E$17:E47)=D$10,F47,D$10-SUM(E$17:E47))</f>
        <v>905145.82636928791</v>
      </c>
      <c r="E48" s="510">
        <f t="shared" si="16"/>
        <v>258639.51515151514</v>
      </c>
      <c r="F48" s="511">
        <f t="shared" si="17"/>
        <v>646506.31121777277</v>
      </c>
      <c r="G48" s="512">
        <f t="shared" si="18"/>
        <v>347672.36356411141</v>
      </c>
      <c r="H48" s="478">
        <f t="shared" si="19"/>
        <v>347672.36356411141</v>
      </c>
      <c r="I48" s="501">
        <f t="shared" si="6"/>
        <v>0</v>
      </c>
      <c r="J48" s="501"/>
      <c r="K48" s="513"/>
      <c r="L48" s="505">
        <f t="shared" si="20"/>
        <v>0</v>
      </c>
      <c r="M48" s="513"/>
      <c r="N48" s="505">
        <f t="shared" si="4"/>
        <v>0</v>
      </c>
      <c r="O48" s="505">
        <f t="shared" si="5"/>
        <v>0</v>
      </c>
      <c r="P48" s="279"/>
      <c r="R48" s="244"/>
      <c r="S48" s="244"/>
      <c r="T48" s="244"/>
      <c r="U48" s="244"/>
    </row>
    <row r="49" spans="2:21" ht="12.5">
      <c r="B49" s="145" t="str">
        <f t="shared" si="0"/>
        <v/>
      </c>
      <c r="C49" s="496">
        <f>IF(D11="","-",+C48+1)</f>
        <v>2047</v>
      </c>
      <c r="D49" s="509">
        <f>IF(F48+SUM(E$17:E48)=D$10,F48,D$10-SUM(E$17:E48))</f>
        <v>646506.31121777277</v>
      </c>
      <c r="E49" s="510">
        <f t="shared" si="16"/>
        <v>258639.51515151514</v>
      </c>
      <c r="F49" s="511">
        <f t="shared" si="17"/>
        <v>387866.79606625764</v>
      </c>
      <c r="G49" s="512">
        <f t="shared" si="18"/>
        <v>317991.20992383524</v>
      </c>
      <c r="H49" s="478">
        <f t="shared" si="19"/>
        <v>317991.20992383524</v>
      </c>
      <c r="I49" s="501">
        <f t="shared" si="6"/>
        <v>0</v>
      </c>
      <c r="J49" s="501"/>
      <c r="K49" s="513"/>
      <c r="L49" s="505">
        <f t="shared" si="20"/>
        <v>0</v>
      </c>
      <c r="M49" s="513"/>
      <c r="N49" s="505">
        <f t="shared" si="4"/>
        <v>0</v>
      </c>
      <c r="O49" s="505">
        <f t="shared" si="5"/>
        <v>0</v>
      </c>
      <c r="P49" s="279"/>
      <c r="R49" s="244"/>
      <c r="S49" s="244"/>
      <c r="T49" s="244"/>
      <c r="U49" s="244"/>
    </row>
    <row r="50" spans="2:21" ht="12.5">
      <c r="B50" s="145" t="str">
        <f t="shared" si="0"/>
        <v/>
      </c>
      <c r="C50" s="496">
        <f>IF(D11="","-",+C49+1)</f>
        <v>2048</v>
      </c>
      <c r="D50" s="509">
        <f>IF(F49+SUM(E$17:E49)=D$10,F49,D$10-SUM(E$17:E49))</f>
        <v>387866.79606625764</v>
      </c>
      <c r="E50" s="510">
        <f t="shared" si="16"/>
        <v>258639.51515151514</v>
      </c>
      <c r="F50" s="511">
        <f t="shared" si="17"/>
        <v>129227.2809147425</v>
      </c>
      <c r="G50" s="512">
        <f t="shared" si="18"/>
        <v>288310.05628355907</v>
      </c>
      <c r="H50" s="478">
        <f t="shared" si="19"/>
        <v>288310.05628355907</v>
      </c>
      <c r="I50" s="501">
        <f t="shared" si="6"/>
        <v>0</v>
      </c>
      <c r="J50" s="501"/>
      <c r="K50" s="513"/>
      <c r="L50" s="505">
        <f t="shared" si="20"/>
        <v>0</v>
      </c>
      <c r="M50" s="513"/>
      <c r="N50" s="505">
        <f t="shared" si="4"/>
        <v>0</v>
      </c>
      <c r="O50" s="505">
        <f t="shared" si="5"/>
        <v>0</v>
      </c>
      <c r="P50" s="279"/>
      <c r="R50" s="244"/>
      <c r="S50" s="244"/>
      <c r="T50" s="244"/>
      <c r="U50" s="244"/>
    </row>
    <row r="51" spans="2:21" ht="12.5">
      <c r="B51" s="145" t="str">
        <f t="shared" si="0"/>
        <v/>
      </c>
      <c r="C51" s="496">
        <f>IF(D11="","-",+C50+1)</f>
        <v>2049</v>
      </c>
      <c r="D51" s="509">
        <f>IF(F50+SUM(E$17:E50)=D$10,F50,D$10-SUM(E$17:E50))</f>
        <v>129227.2809147425</v>
      </c>
      <c r="E51" s="510">
        <f t="shared" si="16"/>
        <v>129227.2809147425</v>
      </c>
      <c r="F51" s="511">
        <f t="shared" si="17"/>
        <v>0</v>
      </c>
      <c r="G51" s="512">
        <f t="shared" si="18"/>
        <v>136642.26307069542</v>
      </c>
      <c r="H51" s="478">
        <f t="shared" si="19"/>
        <v>136642.26307069542</v>
      </c>
      <c r="I51" s="501">
        <f t="shared" si="6"/>
        <v>0</v>
      </c>
      <c r="J51" s="501"/>
      <c r="K51" s="513"/>
      <c r="L51" s="505">
        <f t="shared" si="20"/>
        <v>0</v>
      </c>
      <c r="M51" s="513"/>
      <c r="N51" s="505">
        <f t="shared" si="4"/>
        <v>0</v>
      </c>
      <c r="O51" s="505">
        <f t="shared" si="5"/>
        <v>0</v>
      </c>
      <c r="P51" s="279"/>
      <c r="R51" s="244"/>
      <c r="S51" s="244"/>
      <c r="T51" s="244"/>
      <c r="U51" s="244"/>
    </row>
    <row r="52" spans="2:21" ht="12.5">
      <c r="B52" s="145" t="str">
        <f t="shared" si="0"/>
        <v/>
      </c>
      <c r="C52" s="496">
        <f>IF(D11="","-",+C51+1)</f>
        <v>2050</v>
      </c>
      <c r="D52" s="509">
        <f>IF(F51+SUM(E$17:E51)=D$10,F51,D$10-SUM(E$17:E51))</f>
        <v>0</v>
      </c>
      <c r="E52" s="510">
        <f t="shared" si="16"/>
        <v>0</v>
      </c>
      <c r="F52" s="511">
        <f t="shared" si="17"/>
        <v>0</v>
      </c>
      <c r="G52" s="512">
        <f t="shared" si="18"/>
        <v>0</v>
      </c>
      <c r="H52" s="478">
        <f t="shared" si="19"/>
        <v>0</v>
      </c>
      <c r="I52" s="501">
        <f t="shared" si="6"/>
        <v>0</v>
      </c>
      <c r="J52" s="501"/>
      <c r="K52" s="513"/>
      <c r="L52" s="505">
        <f t="shared" si="20"/>
        <v>0</v>
      </c>
      <c r="M52" s="513"/>
      <c r="N52" s="505">
        <f t="shared" si="4"/>
        <v>0</v>
      </c>
      <c r="O52" s="505">
        <f t="shared" si="5"/>
        <v>0</v>
      </c>
      <c r="P52" s="279"/>
      <c r="R52" s="244"/>
      <c r="S52" s="244"/>
      <c r="T52" s="244"/>
      <c r="U52" s="244"/>
    </row>
    <row r="53" spans="2:21" ht="12.5">
      <c r="B53" s="145" t="str">
        <f t="shared" si="0"/>
        <v/>
      </c>
      <c r="C53" s="496">
        <f>IF(D11="","-",+C52+1)</f>
        <v>2051</v>
      </c>
      <c r="D53" s="509">
        <f>IF(F52+SUM(E$17:E52)=D$10,F52,D$10-SUM(E$17:E52))</f>
        <v>0</v>
      </c>
      <c r="E53" s="510">
        <f t="shared" si="16"/>
        <v>0</v>
      </c>
      <c r="F53" s="511">
        <f t="shared" si="17"/>
        <v>0</v>
      </c>
      <c r="G53" s="512">
        <f t="shared" si="18"/>
        <v>0</v>
      </c>
      <c r="H53" s="478">
        <f t="shared" si="19"/>
        <v>0</v>
      </c>
      <c r="I53" s="501">
        <f t="shared" si="6"/>
        <v>0</v>
      </c>
      <c r="J53" s="501"/>
      <c r="K53" s="513"/>
      <c r="L53" s="505">
        <f t="shared" si="20"/>
        <v>0</v>
      </c>
      <c r="M53" s="513"/>
      <c r="N53" s="505">
        <f t="shared" si="4"/>
        <v>0</v>
      </c>
      <c r="O53" s="505">
        <f t="shared" si="5"/>
        <v>0</v>
      </c>
      <c r="P53" s="279"/>
      <c r="R53" s="244"/>
      <c r="S53" s="244"/>
      <c r="T53" s="244"/>
      <c r="U53" s="244"/>
    </row>
    <row r="54" spans="2:21" ht="12.5">
      <c r="B54" s="145" t="str">
        <f t="shared" si="0"/>
        <v/>
      </c>
      <c r="C54" s="496">
        <f>IF(D11="","-",+C53+1)</f>
        <v>2052</v>
      </c>
      <c r="D54" s="509">
        <f>IF(F53+SUM(E$17:E53)=D$10,F53,D$10-SUM(E$17:E53))</f>
        <v>0</v>
      </c>
      <c r="E54" s="510">
        <f t="shared" si="16"/>
        <v>0</v>
      </c>
      <c r="F54" s="511">
        <f t="shared" si="17"/>
        <v>0</v>
      </c>
      <c r="G54" s="512">
        <f t="shared" si="18"/>
        <v>0</v>
      </c>
      <c r="H54" s="478">
        <f t="shared" si="19"/>
        <v>0</v>
      </c>
      <c r="I54" s="501">
        <f t="shared" si="6"/>
        <v>0</v>
      </c>
      <c r="J54" s="501"/>
      <c r="K54" s="513"/>
      <c r="L54" s="505">
        <f t="shared" si="20"/>
        <v>0</v>
      </c>
      <c r="M54" s="513"/>
      <c r="N54" s="505">
        <f t="shared" si="4"/>
        <v>0</v>
      </c>
      <c r="O54" s="505">
        <f t="shared" si="5"/>
        <v>0</v>
      </c>
      <c r="P54" s="279"/>
      <c r="R54" s="244"/>
      <c r="S54" s="244"/>
      <c r="T54" s="244"/>
      <c r="U54" s="244"/>
    </row>
    <row r="55" spans="2:21" ht="12.5">
      <c r="B55" s="145" t="str">
        <f t="shared" si="0"/>
        <v/>
      </c>
      <c r="C55" s="496">
        <f>IF(D11="","-",+C54+1)</f>
        <v>2053</v>
      </c>
      <c r="D55" s="509">
        <f>IF(F54+SUM(E$17:E54)=D$10,F54,D$10-SUM(E$17:E54))</f>
        <v>0</v>
      </c>
      <c r="E55" s="510">
        <f t="shared" si="16"/>
        <v>0</v>
      </c>
      <c r="F55" s="511">
        <f t="shared" si="17"/>
        <v>0</v>
      </c>
      <c r="G55" s="512">
        <f t="shared" si="18"/>
        <v>0</v>
      </c>
      <c r="H55" s="478">
        <f t="shared" si="19"/>
        <v>0</v>
      </c>
      <c r="I55" s="501">
        <f t="shared" si="6"/>
        <v>0</v>
      </c>
      <c r="J55" s="501"/>
      <c r="K55" s="513"/>
      <c r="L55" s="505">
        <f t="shared" si="20"/>
        <v>0</v>
      </c>
      <c r="M55" s="513"/>
      <c r="N55" s="505">
        <f t="shared" si="4"/>
        <v>0</v>
      </c>
      <c r="O55" s="505">
        <f t="shared" si="5"/>
        <v>0</v>
      </c>
      <c r="P55" s="279"/>
      <c r="R55" s="244"/>
      <c r="S55" s="244"/>
      <c r="T55" s="244"/>
      <c r="U55" s="244"/>
    </row>
    <row r="56" spans="2:21" ht="12.5">
      <c r="B56" s="145" t="str">
        <f t="shared" si="0"/>
        <v/>
      </c>
      <c r="C56" s="496">
        <f>IF(D11="","-",+C55+1)</f>
        <v>2054</v>
      </c>
      <c r="D56" s="509">
        <f>IF(F55+SUM(E$17:E55)=D$10,F55,D$10-SUM(E$17:E55))</f>
        <v>0</v>
      </c>
      <c r="E56" s="510">
        <f t="shared" si="16"/>
        <v>0</v>
      </c>
      <c r="F56" s="511">
        <f t="shared" si="17"/>
        <v>0</v>
      </c>
      <c r="G56" s="512">
        <f t="shared" si="18"/>
        <v>0</v>
      </c>
      <c r="H56" s="478">
        <f t="shared" si="19"/>
        <v>0</v>
      </c>
      <c r="I56" s="501">
        <f t="shared" si="6"/>
        <v>0</v>
      </c>
      <c r="J56" s="501"/>
      <c r="K56" s="513"/>
      <c r="L56" s="505">
        <f t="shared" si="20"/>
        <v>0</v>
      </c>
      <c r="M56" s="513"/>
      <c r="N56" s="505">
        <f t="shared" si="4"/>
        <v>0</v>
      </c>
      <c r="O56" s="505">
        <f t="shared" si="5"/>
        <v>0</v>
      </c>
      <c r="P56" s="279"/>
      <c r="R56" s="244"/>
      <c r="S56" s="244"/>
      <c r="T56" s="244"/>
      <c r="U56" s="244"/>
    </row>
    <row r="57" spans="2:21" ht="12.5">
      <c r="B57" s="145" t="str">
        <f t="shared" si="0"/>
        <v/>
      </c>
      <c r="C57" s="496">
        <f>IF(D11="","-",+C56+1)</f>
        <v>2055</v>
      </c>
      <c r="D57" s="509">
        <f>IF(F56+SUM(E$17:E56)=D$10,F56,D$10-SUM(E$17:E56))</f>
        <v>0</v>
      </c>
      <c r="E57" s="510">
        <f t="shared" si="16"/>
        <v>0</v>
      </c>
      <c r="F57" s="511">
        <f t="shared" si="17"/>
        <v>0</v>
      </c>
      <c r="G57" s="512">
        <f t="shared" si="18"/>
        <v>0</v>
      </c>
      <c r="H57" s="478">
        <f t="shared" si="19"/>
        <v>0</v>
      </c>
      <c r="I57" s="501">
        <f t="shared" si="6"/>
        <v>0</v>
      </c>
      <c r="J57" s="501"/>
      <c r="K57" s="513"/>
      <c r="L57" s="505">
        <f t="shared" si="20"/>
        <v>0</v>
      </c>
      <c r="M57" s="513"/>
      <c r="N57" s="505">
        <f t="shared" si="4"/>
        <v>0</v>
      </c>
      <c r="O57" s="505">
        <f t="shared" si="5"/>
        <v>0</v>
      </c>
      <c r="P57" s="279"/>
      <c r="R57" s="244"/>
      <c r="S57" s="244"/>
      <c r="T57" s="244"/>
      <c r="U57" s="244"/>
    </row>
    <row r="58" spans="2:21" ht="12.5">
      <c r="B58" s="145" t="str">
        <f t="shared" si="0"/>
        <v/>
      </c>
      <c r="C58" s="496">
        <f>IF(D11="","-",+C57+1)</f>
        <v>2056</v>
      </c>
      <c r="D58" s="509">
        <f>IF(F57+SUM(E$17:E57)=D$10,F57,D$10-SUM(E$17:E57))</f>
        <v>0</v>
      </c>
      <c r="E58" s="510">
        <f t="shared" si="16"/>
        <v>0</v>
      </c>
      <c r="F58" s="511">
        <f t="shared" si="17"/>
        <v>0</v>
      </c>
      <c r="G58" s="512">
        <f t="shared" si="18"/>
        <v>0</v>
      </c>
      <c r="H58" s="478">
        <f t="shared" si="19"/>
        <v>0</v>
      </c>
      <c r="I58" s="501">
        <f t="shared" si="6"/>
        <v>0</v>
      </c>
      <c r="J58" s="501"/>
      <c r="K58" s="513"/>
      <c r="L58" s="505">
        <f t="shared" si="20"/>
        <v>0</v>
      </c>
      <c r="M58" s="513"/>
      <c r="N58" s="505">
        <f t="shared" si="4"/>
        <v>0</v>
      </c>
      <c r="O58" s="505">
        <f t="shared" si="5"/>
        <v>0</v>
      </c>
      <c r="P58" s="279"/>
      <c r="R58" s="244"/>
      <c r="S58" s="244"/>
      <c r="T58" s="244"/>
      <c r="U58" s="244"/>
    </row>
    <row r="59" spans="2:21" ht="12.5">
      <c r="B59" s="145" t="str">
        <f t="shared" si="0"/>
        <v/>
      </c>
      <c r="C59" s="496">
        <f>IF(D11="","-",+C58+1)</f>
        <v>2057</v>
      </c>
      <c r="D59" s="509">
        <f>IF(F58+SUM(E$17:E58)=D$10,F58,D$10-SUM(E$17:E58))</f>
        <v>0</v>
      </c>
      <c r="E59" s="510">
        <f t="shared" si="16"/>
        <v>0</v>
      </c>
      <c r="F59" s="511">
        <f t="shared" si="17"/>
        <v>0</v>
      </c>
      <c r="G59" s="512">
        <f t="shared" si="18"/>
        <v>0</v>
      </c>
      <c r="H59" s="478">
        <f t="shared" si="19"/>
        <v>0</v>
      </c>
      <c r="I59" s="501">
        <f t="shared" si="6"/>
        <v>0</v>
      </c>
      <c r="J59" s="501"/>
      <c r="K59" s="513"/>
      <c r="L59" s="505">
        <f t="shared" si="20"/>
        <v>0</v>
      </c>
      <c r="M59" s="513"/>
      <c r="N59" s="505">
        <f t="shared" si="4"/>
        <v>0</v>
      </c>
      <c r="O59" s="505">
        <f t="shared" si="5"/>
        <v>0</v>
      </c>
      <c r="P59" s="279"/>
      <c r="R59" s="244"/>
      <c r="S59" s="244"/>
      <c r="T59" s="244"/>
      <c r="U59" s="244"/>
    </row>
    <row r="60" spans="2:21" ht="12.5">
      <c r="B60" s="145" t="str">
        <f t="shared" si="0"/>
        <v/>
      </c>
      <c r="C60" s="496">
        <f>IF(D11="","-",+C59+1)</f>
        <v>2058</v>
      </c>
      <c r="D60" s="509">
        <f>IF(F59+SUM(E$17:E59)=D$10,F59,D$10-SUM(E$17:E59))</f>
        <v>0</v>
      </c>
      <c r="E60" s="510">
        <f t="shared" si="16"/>
        <v>0</v>
      </c>
      <c r="F60" s="511">
        <f t="shared" si="17"/>
        <v>0</v>
      </c>
      <c r="G60" s="512">
        <f t="shared" si="18"/>
        <v>0</v>
      </c>
      <c r="H60" s="478">
        <f t="shared" si="19"/>
        <v>0</v>
      </c>
      <c r="I60" s="501">
        <f t="shared" si="6"/>
        <v>0</v>
      </c>
      <c r="J60" s="501"/>
      <c r="K60" s="513"/>
      <c r="L60" s="505">
        <f t="shared" si="20"/>
        <v>0</v>
      </c>
      <c r="M60" s="513"/>
      <c r="N60" s="505">
        <f t="shared" si="4"/>
        <v>0</v>
      </c>
      <c r="O60" s="505">
        <f t="shared" si="5"/>
        <v>0</v>
      </c>
      <c r="P60" s="279"/>
      <c r="R60" s="244"/>
      <c r="S60" s="244"/>
      <c r="T60" s="244"/>
      <c r="U60" s="244"/>
    </row>
    <row r="61" spans="2:21" ht="12.5">
      <c r="B61" s="145" t="str">
        <f>IF(D61=F60,"","IU")</f>
        <v/>
      </c>
      <c r="C61" s="496">
        <f>IF(D11="","-",+C60+1)</f>
        <v>2059</v>
      </c>
      <c r="D61" s="509">
        <f>IF(F60+SUM(E$17:E60)=D$10,F60,D$10-SUM(E$17:E60))</f>
        <v>0</v>
      </c>
      <c r="E61" s="510">
        <f t="shared" si="16"/>
        <v>0</v>
      </c>
      <c r="F61" s="511">
        <f t="shared" si="17"/>
        <v>0</v>
      </c>
      <c r="G61" s="512">
        <f t="shared" si="18"/>
        <v>0</v>
      </c>
      <c r="H61" s="478">
        <f t="shared" si="19"/>
        <v>0</v>
      </c>
      <c r="I61" s="501">
        <f t="shared" si="6"/>
        <v>0</v>
      </c>
      <c r="J61" s="501"/>
      <c r="K61" s="513"/>
      <c r="L61" s="505">
        <f t="shared" si="20"/>
        <v>0</v>
      </c>
      <c r="M61" s="513"/>
      <c r="N61" s="505">
        <f t="shared" si="4"/>
        <v>0</v>
      </c>
      <c r="O61" s="505">
        <f t="shared" si="5"/>
        <v>0</v>
      </c>
      <c r="P61" s="279"/>
      <c r="R61" s="244"/>
      <c r="S61" s="244"/>
      <c r="T61" s="244"/>
      <c r="U61" s="244"/>
    </row>
    <row r="62" spans="2:21" ht="12.5">
      <c r="B62" s="145" t="str">
        <f t="shared" si="0"/>
        <v/>
      </c>
      <c r="C62" s="496">
        <f>IF(D11="","-",+C61+1)</f>
        <v>2060</v>
      </c>
      <c r="D62" s="509">
        <f>IF(F61+SUM(E$17:E61)=D$10,F61,D$10-SUM(E$17:E61))</f>
        <v>0</v>
      </c>
      <c r="E62" s="510">
        <f t="shared" si="16"/>
        <v>0</v>
      </c>
      <c r="F62" s="511">
        <f t="shared" si="17"/>
        <v>0</v>
      </c>
      <c r="G62" s="512">
        <f t="shared" si="18"/>
        <v>0</v>
      </c>
      <c r="H62" s="478">
        <f t="shared" si="19"/>
        <v>0</v>
      </c>
      <c r="I62" s="501">
        <f t="shared" si="6"/>
        <v>0</v>
      </c>
      <c r="J62" s="501"/>
      <c r="K62" s="513"/>
      <c r="L62" s="505">
        <f t="shared" si="20"/>
        <v>0</v>
      </c>
      <c r="M62" s="513"/>
      <c r="N62" s="505">
        <f t="shared" si="4"/>
        <v>0</v>
      </c>
      <c r="O62" s="505">
        <f t="shared" si="5"/>
        <v>0</v>
      </c>
      <c r="P62" s="279"/>
      <c r="R62" s="244"/>
      <c r="S62" s="244"/>
      <c r="T62" s="244"/>
      <c r="U62" s="244"/>
    </row>
    <row r="63" spans="2:21" ht="12.5">
      <c r="B63" s="145" t="str">
        <f t="shared" si="0"/>
        <v/>
      </c>
      <c r="C63" s="496">
        <f>IF(D11="","-",+C62+1)</f>
        <v>2061</v>
      </c>
      <c r="D63" s="509">
        <f>IF(F62+SUM(E$17:E62)=D$10,F62,D$10-SUM(E$17:E62))</f>
        <v>0</v>
      </c>
      <c r="E63" s="510">
        <f t="shared" si="16"/>
        <v>0</v>
      </c>
      <c r="F63" s="511">
        <f t="shared" si="17"/>
        <v>0</v>
      </c>
      <c r="G63" s="512">
        <f t="shared" si="18"/>
        <v>0</v>
      </c>
      <c r="H63" s="478">
        <f t="shared" si="19"/>
        <v>0</v>
      </c>
      <c r="I63" s="501">
        <f t="shared" si="6"/>
        <v>0</v>
      </c>
      <c r="J63" s="501"/>
      <c r="K63" s="513"/>
      <c r="L63" s="505">
        <f t="shared" si="20"/>
        <v>0</v>
      </c>
      <c r="M63" s="513"/>
      <c r="N63" s="505">
        <f t="shared" si="4"/>
        <v>0</v>
      </c>
      <c r="O63" s="505">
        <f t="shared" si="5"/>
        <v>0</v>
      </c>
      <c r="P63" s="279"/>
      <c r="R63" s="244"/>
      <c r="S63" s="244"/>
      <c r="T63" s="244"/>
      <c r="U63" s="244"/>
    </row>
    <row r="64" spans="2:21" ht="12.5">
      <c r="B64" s="145" t="str">
        <f t="shared" si="0"/>
        <v/>
      </c>
      <c r="C64" s="496">
        <f>IF(D11="","-",+C63+1)</f>
        <v>2062</v>
      </c>
      <c r="D64" s="509">
        <f>IF(F63+SUM(E$17:E63)=D$10,F63,D$10-SUM(E$17:E63))</f>
        <v>0</v>
      </c>
      <c r="E64" s="510">
        <f t="shared" si="16"/>
        <v>0</v>
      </c>
      <c r="F64" s="511">
        <f t="shared" si="17"/>
        <v>0</v>
      </c>
      <c r="G64" s="512">
        <f t="shared" si="18"/>
        <v>0</v>
      </c>
      <c r="H64" s="478">
        <f t="shared" si="19"/>
        <v>0</v>
      </c>
      <c r="I64" s="501">
        <f t="shared" si="6"/>
        <v>0</v>
      </c>
      <c r="J64" s="501"/>
      <c r="K64" s="513"/>
      <c r="L64" s="505">
        <f t="shared" si="20"/>
        <v>0</v>
      </c>
      <c r="M64" s="513"/>
      <c r="N64" s="505">
        <f t="shared" si="4"/>
        <v>0</v>
      </c>
      <c r="O64" s="505">
        <f t="shared" si="5"/>
        <v>0</v>
      </c>
      <c r="P64" s="279"/>
      <c r="R64" s="244"/>
      <c r="S64" s="244"/>
      <c r="T64" s="244"/>
      <c r="U64" s="244"/>
    </row>
    <row r="65" spans="2:21" ht="12.5">
      <c r="B65" s="145" t="str">
        <f t="shared" si="0"/>
        <v/>
      </c>
      <c r="C65" s="496">
        <f>IF(D11="","-",+C64+1)</f>
        <v>2063</v>
      </c>
      <c r="D65" s="509">
        <f>IF(F64+SUM(E$17:E64)=D$10,F64,D$10-SUM(E$17:E64))</f>
        <v>0</v>
      </c>
      <c r="E65" s="510">
        <f t="shared" si="16"/>
        <v>0</v>
      </c>
      <c r="F65" s="511">
        <f t="shared" si="17"/>
        <v>0</v>
      </c>
      <c r="G65" s="512">
        <f t="shared" si="18"/>
        <v>0</v>
      </c>
      <c r="H65" s="478">
        <f t="shared" si="19"/>
        <v>0</v>
      </c>
      <c r="I65" s="501">
        <f t="shared" si="6"/>
        <v>0</v>
      </c>
      <c r="J65" s="501"/>
      <c r="K65" s="513"/>
      <c r="L65" s="505">
        <f t="shared" si="20"/>
        <v>0</v>
      </c>
      <c r="M65" s="513"/>
      <c r="N65" s="505">
        <f t="shared" si="4"/>
        <v>0</v>
      </c>
      <c r="O65" s="505">
        <f t="shared" si="5"/>
        <v>0</v>
      </c>
      <c r="P65" s="279"/>
      <c r="R65" s="244"/>
      <c r="S65" s="244"/>
      <c r="T65" s="244"/>
      <c r="U65" s="244"/>
    </row>
    <row r="66" spans="2:21" ht="12.5">
      <c r="B66" s="145" t="str">
        <f t="shared" si="0"/>
        <v/>
      </c>
      <c r="C66" s="496">
        <f>IF(D11="","-",+C65+1)</f>
        <v>2064</v>
      </c>
      <c r="D66" s="509">
        <f>IF(F65+SUM(E$17:E65)=D$10,F65,D$10-SUM(E$17:E65))</f>
        <v>0</v>
      </c>
      <c r="E66" s="510">
        <f t="shared" si="16"/>
        <v>0</v>
      </c>
      <c r="F66" s="511">
        <f t="shared" si="17"/>
        <v>0</v>
      </c>
      <c r="G66" s="512">
        <f t="shared" si="18"/>
        <v>0</v>
      </c>
      <c r="H66" s="478">
        <f t="shared" si="19"/>
        <v>0</v>
      </c>
      <c r="I66" s="501">
        <f t="shared" si="6"/>
        <v>0</v>
      </c>
      <c r="J66" s="501"/>
      <c r="K66" s="513"/>
      <c r="L66" s="505">
        <f t="shared" si="20"/>
        <v>0</v>
      </c>
      <c r="M66" s="513"/>
      <c r="N66" s="505">
        <f t="shared" si="4"/>
        <v>0</v>
      </c>
      <c r="O66" s="505">
        <f t="shared" si="5"/>
        <v>0</v>
      </c>
      <c r="P66" s="279"/>
      <c r="R66" s="244"/>
      <c r="S66" s="244"/>
      <c r="T66" s="244"/>
      <c r="U66" s="244"/>
    </row>
    <row r="67" spans="2:21" ht="12.5">
      <c r="B67" s="145" t="str">
        <f t="shared" si="0"/>
        <v/>
      </c>
      <c r="C67" s="496">
        <f>IF(D11="","-",+C66+1)</f>
        <v>2065</v>
      </c>
      <c r="D67" s="509">
        <f>IF(F66+SUM(E$17:E66)=D$10,F66,D$10-SUM(E$17:E66))</f>
        <v>0</v>
      </c>
      <c r="E67" s="510">
        <f t="shared" si="16"/>
        <v>0</v>
      </c>
      <c r="F67" s="511">
        <f t="shared" si="17"/>
        <v>0</v>
      </c>
      <c r="G67" s="512">
        <f t="shared" si="18"/>
        <v>0</v>
      </c>
      <c r="H67" s="478">
        <f t="shared" si="19"/>
        <v>0</v>
      </c>
      <c r="I67" s="501">
        <f t="shared" si="6"/>
        <v>0</v>
      </c>
      <c r="J67" s="501"/>
      <c r="K67" s="513"/>
      <c r="L67" s="505">
        <f t="shared" si="20"/>
        <v>0</v>
      </c>
      <c r="M67" s="513"/>
      <c r="N67" s="505">
        <f t="shared" si="4"/>
        <v>0</v>
      </c>
      <c r="O67" s="505">
        <f t="shared" si="5"/>
        <v>0</v>
      </c>
      <c r="P67" s="279"/>
      <c r="R67" s="244"/>
      <c r="S67" s="244"/>
      <c r="T67" s="244"/>
      <c r="U67" s="244"/>
    </row>
    <row r="68" spans="2:21" ht="12.5">
      <c r="B68" s="145" t="str">
        <f t="shared" si="0"/>
        <v/>
      </c>
      <c r="C68" s="496">
        <f>IF(D11="","-",+C67+1)</f>
        <v>2066</v>
      </c>
      <c r="D68" s="509">
        <f>IF(F67+SUM(E$17:E67)=D$10,F67,D$10-SUM(E$17:E67))</f>
        <v>0</v>
      </c>
      <c r="E68" s="510">
        <f t="shared" si="16"/>
        <v>0</v>
      </c>
      <c r="F68" s="511">
        <f t="shared" si="17"/>
        <v>0</v>
      </c>
      <c r="G68" s="512">
        <f t="shared" si="18"/>
        <v>0</v>
      </c>
      <c r="H68" s="478">
        <f t="shared" si="19"/>
        <v>0</v>
      </c>
      <c r="I68" s="501">
        <f t="shared" si="6"/>
        <v>0</v>
      </c>
      <c r="J68" s="501"/>
      <c r="K68" s="513"/>
      <c r="L68" s="505">
        <f t="shared" si="20"/>
        <v>0</v>
      </c>
      <c r="M68" s="513"/>
      <c r="N68" s="505">
        <f t="shared" si="4"/>
        <v>0</v>
      </c>
      <c r="O68" s="505">
        <f t="shared" si="5"/>
        <v>0</v>
      </c>
      <c r="P68" s="279"/>
      <c r="R68" s="244"/>
      <c r="S68" s="244"/>
      <c r="T68" s="244"/>
      <c r="U68" s="244"/>
    </row>
    <row r="69" spans="2:21" ht="12.5">
      <c r="B69" s="145" t="str">
        <f t="shared" si="0"/>
        <v/>
      </c>
      <c r="C69" s="496">
        <f>IF(D11="","-",+C68+1)</f>
        <v>2067</v>
      </c>
      <c r="D69" s="509">
        <f>IF(F68+SUM(E$17:E68)=D$10,F68,D$10-SUM(E$17:E68))</f>
        <v>0</v>
      </c>
      <c r="E69" s="510">
        <f t="shared" si="16"/>
        <v>0</v>
      </c>
      <c r="F69" s="511">
        <f t="shared" si="17"/>
        <v>0</v>
      </c>
      <c r="G69" s="512">
        <f t="shared" si="18"/>
        <v>0</v>
      </c>
      <c r="H69" s="478">
        <f t="shared" si="19"/>
        <v>0</v>
      </c>
      <c r="I69" s="501">
        <f t="shared" si="6"/>
        <v>0</v>
      </c>
      <c r="J69" s="501"/>
      <c r="K69" s="513"/>
      <c r="L69" s="505">
        <f t="shared" si="20"/>
        <v>0</v>
      </c>
      <c r="M69" s="513"/>
      <c r="N69" s="505">
        <f t="shared" si="4"/>
        <v>0</v>
      </c>
      <c r="O69" s="505">
        <f t="shared" si="5"/>
        <v>0</v>
      </c>
      <c r="P69" s="279"/>
      <c r="R69" s="244"/>
      <c r="S69" s="244"/>
      <c r="T69" s="244"/>
      <c r="U69" s="244"/>
    </row>
    <row r="70" spans="2:21" ht="12.5">
      <c r="B70" s="145" t="str">
        <f t="shared" si="0"/>
        <v/>
      </c>
      <c r="C70" s="496">
        <f>IF(D11="","-",+C69+1)</f>
        <v>2068</v>
      </c>
      <c r="D70" s="509">
        <f>IF(F69+SUM(E$17:E69)=D$10,F69,D$10-SUM(E$17:E69))</f>
        <v>0</v>
      </c>
      <c r="E70" s="510">
        <f t="shared" si="16"/>
        <v>0</v>
      </c>
      <c r="F70" s="511">
        <f t="shared" si="17"/>
        <v>0</v>
      </c>
      <c r="G70" s="512">
        <f t="shared" si="18"/>
        <v>0</v>
      </c>
      <c r="H70" s="478">
        <f t="shared" si="19"/>
        <v>0</v>
      </c>
      <c r="I70" s="501">
        <f t="shared" si="6"/>
        <v>0</v>
      </c>
      <c r="J70" s="501"/>
      <c r="K70" s="513"/>
      <c r="L70" s="505">
        <f t="shared" si="20"/>
        <v>0</v>
      </c>
      <c r="M70" s="513"/>
      <c r="N70" s="505">
        <f t="shared" si="4"/>
        <v>0</v>
      </c>
      <c r="O70" s="505">
        <f t="shared" si="5"/>
        <v>0</v>
      </c>
      <c r="P70" s="279"/>
      <c r="R70" s="244"/>
      <c r="S70" s="244"/>
      <c r="T70" s="244"/>
      <c r="U70" s="244"/>
    </row>
    <row r="71" spans="2:21" ht="12.5">
      <c r="B71" s="145" t="str">
        <f t="shared" si="0"/>
        <v/>
      </c>
      <c r="C71" s="496">
        <f>IF(D11="","-",+C70+1)</f>
        <v>2069</v>
      </c>
      <c r="D71" s="509">
        <f>IF(F70+SUM(E$17:E70)=D$10,F70,D$10-SUM(E$17:E70))</f>
        <v>0</v>
      </c>
      <c r="E71" s="510">
        <f t="shared" si="16"/>
        <v>0</v>
      </c>
      <c r="F71" s="511">
        <f t="shared" si="17"/>
        <v>0</v>
      </c>
      <c r="G71" s="512">
        <f t="shared" si="18"/>
        <v>0</v>
      </c>
      <c r="H71" s="478">
        <f t="shared" si="19"/>
        <v>0</v>
      </c>
      <c r="I71" s="501">
        <f t="shared" si="6"/>
        <v>0</v>
      </c>
      <c r="J71" s="501"/>
      <c r="K71" s="513"/>
      <c r="L71" s="505">
        <f t="shared" si="20"/>
        <v>0</v>
      </c>
      <c r="M71" s="513"/>
      <c r="N71" s="505">
        <f t="shared" si="4"/>
        <v>0</v>
      </c>
      <c r="O71" s="505">
        <f t="shared" si="5"/>
        <v>0</v>
      </c>
      <c r="P71" s="279"/>
      <c r="R71" s="244"/>
      <c r="S71" s="244"/>
      <c r="T71" s="244"/>
      <c r="U71" s="244"/>
    </row>
    <row r="72" spans="2:21" ht="12.5">
      <c r="B72" s="145" t="str">
        <f t="shared" si="0"/>
        <v/>
      </c>
      <c r="C72" s="496">
        <f>IF(D11="","-",+C71+1)</f>
        <v>2070</v>
      </c>
      <c r="D72" s="509">
        <f>IF(F71+SUM(E$17:E71)=D$10,F71,D$10-SUM(E$17:E71))</f>
        <v>0</v>
      </c>
      <c r="E72" s="510">
        <f t="shared" si="16"/>
        <v>0</v>
      </c>
      <c r="F72" s="511">
        <f t="shared" si="17"/>
        <v>0</v>
      </c>
      <c r="G72" s="512">
        <f t="shared" si="18"/>
        <v>0</v>
      </c>
      <c r="H72" s="478">
        <f t="shared" si="19"/>
        <v>0</v>
      </c>
      <c r="I72" s="501">
        <f t="shared" si="6"/>
        <v>0</v>
      </c>
      <c r="J72" s="501"/>
      <c r="K72" s="513"/>
      <c r="L72" s="505">
        <f t="shared" si="20"/>
        <v>0</v>
      </c>
      <c r="M72" s="513"/>
      <c r="N72" s="505">
        <f t="shared" si="4"/>
        <v>0</v>
      </c>
      <c r="O72" s="505">
        <f t="shared" si="5"/>
        <v>0</v>
      </c>
      <c r="P72" s="279"/>
      <c r="R72" s="244"/>
      <c r="S72" s="244"/>
      <c r="T72" s="244"/>
      <c r="U72" s="244"/>
    </row>
    <row r="73" spans="2:21" ht="13" thickBot="1">
      <c r="B73" s="145" t="str">
        <f t="shared" si="0"/>
        <v/>
      </c>
      <c r="C73" s="525">
        <f>IF(D11="","-",+C72+1)</f>
        <v>2071</v>
      </c>
      <c r="D73" s="509">
        <f>IF(F72+SUM(E$17:E72)=D$10,F72,D$10-SUM(E$17:E72))</f>
        <v>0</v>
      </c>
      <c r="E73" s="510">
        <f t="shared" si="16"/>
        <v>0</v>
      </c>
      <c r="F73" s="511">
        <f t="shared" si="17"/>
        <v>0</v>
      </c>
      <c r="G73" s="512">
        <f t="shared" si="18"/>
        <v>0</v>
      </c>
      <c r="H73" s="478">
        <f t="shared" si="19"/>
        <v>0</v>
      </c>
      <c r="I73" s="501">
        <f t="shared" si="6"/>
        <v>0</v>
      </c>
      <c r="J73" s="501"/>
      <c r="K73" s="531"/>
      <c r="L73" s="532">
        <f t="shared" si="20"/>
        <v>0</v>
      </c>
      <c r="M73" s="531"/>
      <c r="N73" s="532">
        <f t="shared" si="4"/>
        <v>0</v>
      </c>
      <c r="O73" s="532">
        <f t="shared" si="5"/>
        <v>0</v>
      </c>
      <c r="P73" s="279"/>
      <c r="R73" s="244"/>
      <c r="S73" s="244"/>
      <c r="T73" s="244"/>
      <c r="U73" s="244"/>
    </row>
    <row r="74" spans="2:21" ht="12.5">
      <c r="C74" s="350" t="s">
        <v>75</v>
      </c>
      <c r="D74" s="295"/>
      <c r="E74" s="295">
        <f>SUM(E17:E73)</f>
        <v>8535104.0000000019</v>
      </c>
      <c r="F74" s="295"/>
      <c r="G74" s="295">
        <f>SUM(G17:G73)</f>
        <v>25246963.623051465</v>
      </c>
      <c r="H74" s="295">
        <f>SUM(H17:H73)</f>
        <v>25246963.623051465</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9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1036362.3728391449</v>
      </c>
      <c r="N88" s="545">
        <f>IF(J93&lt;D11,0,VLOOKUP(J93,C17:O73,11))</f>
        <v>1036362.3728391449</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1139963.8590299715</v>
      </c>
      <c r="N89" s="549">
        <f>IF(J93&lt;D11,0,VLOOKUP(J93,C100:P155,7))</f>
        <v>1139963.8590299715</v>
      </c>
      <c r="O89" s="550">
        <f>+N89-M89</f>
        <v>0</v>
      </c>
      <c r="P89" s="244"/>
      <c r="Q89" s="244"/>
      <c r="R89" s="244"/>
      <c r="S89" s="244"/>
      <c r="T89" s="244"/>
      <c r="U89" s="244"/>
    </row>
    <row r="90" spans="1:21" ht="13.5" thickBot="1">
      <c r="C90" s="455" t="s">
        <v>82</v>
      </c>
      <c r="D90" s="551" t="str">
        <f>+D7</f>
        <v>Prattville-Bluebell 138 kV</v>
      </c>
      <c r="E90" s="244"/>
      <c r="F90" s="244"/>
      <c r="G90" s="244"/>
      <c r="H90" s="244"/>
      <c r="I90" s="326"/>
      <c r="J90" s="326"/>
      <c r="K90" s="552"/>
      <c r="L90" s="553" t="s">
        <v>135</v>
      </c>
      <c r="M90" s="554">
        <f>+M89-M88</f>
        <v>103601.48619082663</v>
      </c>
      <c r="N90" s="554">
        <f>+N89-N88</f>
        <v>103601.48619082663</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622" t="str">
        <f>+D9</f>
        <v>TP2010094</v>
      </c>
      <c r="E92" s="559"/>
      <c r="F92" s="559"/>
      <c r="G92" s="559"/>
      <c r="H92" s="559"/>
      <c r="I92" s="559"/>
      <c r="J92" s="559"/>
      <c r="K92" s="561"/>
      <c r="P92" s="469"/>
      <c r="Q92" s="244"/>
      <c r="R92" s="244"/>
      <c r="S92" s="244"/>
      <c r="T92" s="244"/>
      <c r="U92" s="244"/>
    </row>
    <row r="93" spans="1:21" ht="13">
      <c r="C93" s="473" t="s">
        <v>49</v>
      </c>
      <c r="D93" s="623">
        <f>+D10</f>
        <v>8535104</v>
      </c>
      <c r="E93" s="249" t="s">
        <v>84</v>
      </c>
      <c r="H93" s="409"/>
      <c r="I93" s="409"/>
      <c r="J93" s="472">
        <f>+'OKT.WS.G.BPU.ATRR.True-up'!M16</f>
        <v>2023</v>
      </c>
      <c r="K93" s="468"/>
      <c r="L93" s="295" t="s">
        <v>85</v>
      </c>
      <c r="P93" s="279"/>
      <c r="Q93" s="244"/>
      <c r="R93" s="244"/>
      <c r="S93" s="244"/>
      <c r="T93" s="244"/>
      <c r="U93" s="244"/>
    </row>
    <row r="94" spans="1:21" ht="12.5">
      <c r="C94" s="473" t="s">
        <v>52</v>
      </c>
      <c r="D94" s="562">
        <f>IF(D11=I10,"",D11)</f>
        <v>2015</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6</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449216</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55" si="23">IF(D100=F99,"","IU")</f>
        <v>IU</v>
      </c>
      <c r="C100" s="496">
        <f>IF(D94= "","-",D94)</f>
        <v>2015</v>
      </c>
      <c r="D100" s="613">
        <v>0</v>
      </c>
      <c r="E100" s="614">
        <v>102447.91666666666</v>
      </c>
      <c r="F100" s="615">
        <v>8327552.083333333</v>
      </c>
      <c r="G100" s="616">
        <v>4163776.0416666665</v>
      </c>
      <c r="H100" s="616">
        <v>565998.7241739725</v>
      </c>
      <c r="I100" s="616">
        <v>565998.7241739725</v>
      </c>
      <c r="J100" s="505">
        <v>0</v>
      </c>
      <c r="K100" s="505"/>
      <c r="L100" s="507">
        <f t="shared" ref="L100:L105" si="24">H100</f>
        <v>565998.7241739725</v>
      </c>
      <c r="M100" s="505">
        <f t="shared" ref="M100:M105" si="25">IF(L100&lt;&gt;0,+H100-L100,0)</f>
        <v>0</v>
      </c>
      <c r="N100" s="507">
        <f t="shared" ref="N100:N105" si="26">I100</f>
        <v>565998.7241739725</v>
      </c>
      <c r="O100" s="504">
        <f t="shared" ref="O100:O131" si="27">IF(N100&lt;&gt;0,+I100-N100,0)</f>
        <v>0</v>
      </c>
      <c r="P100" s="504">
        <f t="shared" ref="P100:P131" si="28">+O100-M100</f>
        <v>0</v>
      </c>
      <c r="Q100" s="244"/>
      <c r="R100" s="244"/>
      <c r="S100" s="244"/>
      <c r="T100" s="244"/>
      <c r="U100" s="244"/>
    </row>
    <row r="101" spans="1:21" ht="12.5">
      <c r="B101" s="145" t="str">
        <f t="shared" si="23"/>
        <v>IU</v>
      </c>
      <c r="C101" s="496">
        <f>IF(D94="","-",+C100+1)</f>
        <v>2016</v>
      </c>
      <c r="D101" s="506">
        <v>8432656.083333334</v>
      </c>
      <c r="E101" s="499">
        <v>167354.98039215687</v>
      </c>
      <c r="F101" s="506">
        <v>8265301.1029411769</v>
      </c>
      <c r="G101" s="499">
        <v>8348978.5931372549</v>
      </c>
      <c r="H101" s="500">
        <v>1072129.2771965233</v>
      </c>
      <c r="I101" s="500">
        <v>1072129.2771965233</v>
      </c>
      <c r="J101" s="505">
        <f t="shared" ref="J101:J131" si="29">+I101-H101</f>
        <v>0</v>
      </c>
      <c r="K101" s="505"/>
      <c r="L101" s="507">
        <f t="shared" si="24"/>
        <v>1072129.2771965233</v>
      </c>
      <c r="M101" s="505">
        <f t="shared" si="25"/>
        <v>0</v>
      </c>
      <c r="N101" s="590">
        <f t="shared" si="26"/>
        <v>1072129.2771965233</v>
      </c>
      <c r="O101" s="590">
        <f>IF(N101&lt;&gt;0,+I101-N101,0)</f>
        <v>0</v>
      </c>
      <c r="P101" s="505">
        <f>+O101-M101</f>
        <v>0</v>
      </c>
      <c r="Q101" s="244"/>
      <c r="R101" s="244"/>
      <c r="S101" s="244"/>
      <c r="T101" s="244"/>
      <c r="U101" s="244"/>
    </row>
    <row r="102" spans="1:21" ht="12.5">
      <c r="B102" s="145" t="str">
        <f t="shared" si="23"/>
        <v/>
      </c>
      <c r="C102" s="496">
        <f>IF(D94="","-",+C101+1)</f>
        <v>2017</v>
      </c>
      <c r="D102" s="506">
        <v>8265301.1029411769</v>
      </c>
      <c r="E102" s="499">
        <v>213377.6</v>
      </c>
      <c r="F102" s="506">
        <v>8051923.5029411772</v>
      </c>
      <c r="G102" s="499">
        <v>8158612.302941177</v>
      </c>
      <c r="H102" s="500">
        <v>1170675.4253324734</v>
      </c>
      <c r="I102" s="500">
        <v>1170675.4253324734</v>
      </c>
      <c r="J102" s="505">
        <f t="shared" si="29"/>
        <v>0</v>
      </c>
      <c r="K102" s="505"/>
      <c r="L102" s="507">
        <f t="shared" si="24"/>
        <v>1170675.4253324734</v>
      </c>
      <c r="M102" s="505">
        <f t="shared" si="25"/>
        <v>0</v>
      </c>
      <c r="N102" s="590">
        <f t="shared" si="26"/>
        <v>1170675.4253324734</v>
      </c>
      <c r="O102" s="590">
        <f>IF(N102&lt;&gt;0,+I102-N102,0)</f>
        <v>0</v>
      </c>
      <c r="P102" s="505">
        <f>+O102-M102</f>
        <v>0</v>
      </c>
      <c r="Q102" s="244"/>
      <c r="R102" s="244"/>
      <c r="S102" s="244"/>
      <c r="T102" s="244"/>
      <c r="U102" s="244"/>
    </row>
    <row r="103" spans="1:21" ht="12.5">
      <c r="B103" s="145" t="str">
        <f t="shared" si="23"/>
        <v/>
      </c>
      <c r="C103" s="496">
        <f>IF(D94="","-",+C102+1)</f>
        <v>2018</v>
      </c>
      <c r="D103" s="506">
        <v>8051923.5029411772</v>
      </c>
      <c r="E103" s="499">
        <v>237086.22222222222</v>
      </c>
      <c r="F103" s="506">
        <v>7814837.2807189552</v>
      </c>
      <c r="G103" s="499">
        <v>7933380.3918300662</v>
      </c>
      <c r="H103" s="500">
        <v>1074553.2860184449</v>
      </c>
      <c r="I103" s="500">
        <v>1074553.2860184449</v>
      </c>
      <c r="J103" s="505">
        <f t="shared" si="29"/>
        <v>0</v>
      </c>
      <c r="K103" s="505"/>
      <c r="L103" s="507">
        <f t="shared" si="24"/>
        <v>1074553.2860184449</v>
      </c>
      <c r="M103" s="505">
        <f t="shared" si="25"/>
        <v>0</v>
      </c>
      <c r="N103" s="590">
        <f t="shared" si="26"/>
        <v>1074553.2860184449</v>
      </c>
      <c r="O103" s="590">
        <f>IF(N103&lt;&gt;0,+I103-N103,0)</f>
        <v>0</v>
      </c>
      <c r="P103" s="505">
        <f>+O103-M103</f>
        <v>0</v>
      </c>
      <c r="Q103" s="244"/>
      <c r="R103" s="244"/>
      <c r="S103" s="244"/>
      <c r="T103" s="244"/>
      <c r="U103" s="244"/>
    </row>
    <row r="104" spans="1:21" ht="12.5">
      <c r="B104" s="145" t="str">
        <f t="shared" si="23"/>
        <v/>
      </c>
      <c r="C104" s="496">
        <f>IF(D94="","-",+C103+1)</f>
        <v>2019</v>
      </c>
      <c r="D104" s="506">
        <v>7814837.2807189552</v>
      </c>
      <c r="E104" s="499">
        <v>237086.22222222222</v>
      </c>
      <c r="F104" s="506">
        <v>7577751.0584967332</v>
      </c>
      <c r="G104" s="499">
        <v>7696294.1696078442</v>
      </c>
      <c r="H104" s="500">
        <v>1049525.8837530178</v>
      </c>
      <c r="I104" s="500">
        <v>1049525.8837530178</v>
      </c>
      <c r="J104" s="505">
        <f t="shared" si="29"/>
        <v>0</v>
      </c>
      <c r="K104" s="505"/>
      <c r="L104" s="507">
        <f t="shared" si="24"/>
        <v>1049525.8837530178</v>
      </c>
      <c r="M104" s="505">
        <f t="shared" si="25"/>
        <v>0</v>
      </c>
      <c r="N104" s="590">
        <f t="shared" si="26"/>
        <v>1049525.8837530178</v>
      </c>
      <c r="O104" s="505">
        <f t="shared" si="27"/>
        <v>0</v>
      </c>
      <c r="P104" s="505">
        <f t="shared" si="28"/>
        <v>0</v>
      </c>
      <c r="Q104" s="244"/>
      <c r="R104" s="244"/>
      <c r="S104" s="244"/>
      <c r="T104" s="244"/>
      <c r="U104" s="244"/>
    </row>
    <row r="105" spans="1:21" ht="12.5">
      <c r="B105" s="145" t="str">
        <f t="shared" si="23"/>
        <v/>
      </c>
      <c r="C105" s="496">
        <f>IF(D94="","-",+C104+1)</f>
        <v>2020</v>
      </c>
      <c r="D105" s="506">
        <v>7577751.0584967332</v>
      </c>
      <c r="E105" s="499">
        <v>304825.14285714284</v>
      </c>
      <c r="F105" s="506">
        <v>7272925.9156395905</v>
      </c>
      <c r="G105" s="499">
        <v>7425338.4870681614</v>
      </c>
      <c r="H105" s="500">
        <v>1094981.3923049036</v>
      </c>
      <c r="I105" s="500">
        <v>1094981.3923049036</v>
      </c>
      <c r="J105" s="505">
        <f t="shared" si="29"/>
        <v>0</v>
      </c>
      <c r="K105" s="505"/>
      <c r="L105" s="507">
        <f t="shared" si="24"/>
        <v>1094981.3923049036</v>
      </c>
      <c r="M105" s="505">
        <f t="shared" si="25"/>
        <v>0</v>
      </c>
      <c r="N105" s="590">
        <f t="shared" si="26"/>
        <v>1094981.3923049036</v>
      </c>
      <c r="O105" s="505">
        <f t="shared" si="27"/>
        <v>0</v>
      </c>
      <c r="P105" s="505">
        <f t="shared" si="28"/>
        <v>0</v>
      </c>
      <c r="Q105" s="244"/>
      <c r="R105" s="244"/>
      <c r="S105" s="244"/>
      <c r="T105" s="244"/>
      <c r="U105" s="244"/>
    </row>
    <row r="106" spans="1:21" ht="12.5">
      <c r="B106" s="145" t="str">
        <f t="shared" si="23"/>
        <v/>
      </c>
      <c r="C106" s="496">
        <f>IF(D94="","-",+C105+1)</f>
        <v>2021</v>
      </c>
      <c r="D106" s="506">
        <v>7272925.9156395905</v>
      </c>
      <c r="E106" s="499">
        <v>341404.15999999997</v>
      </c>
      <c r="F106" s="506">
        <v>6931521.7556395903</v>
      </c>
      <c r="G106" s="499">
        <v>7102223.8356395904</v>
      </c>
      <c r="H106" s="500">
        <v>1179196.7813973147</v>
      </c>
      <c r="I106" s="500">
        <v>1179196.7813973147</v>
      </c>
      <c r="J106" s="505">
        <f t="shared" si="29"/>
        <v>0</v>
      </c>
      <c r="K106" s="505"/>
      <c r="L106" s="507">
        <f t="shared" ref="L106" si="30">H106</f>
        <v>1179196.7813973147</v>
      </c>
      <c r="M106" s="505">
        <f t="shared" ref="M106" si="31">IF(L106&lt;&gt;0,+H106-L106,0)</f>
        <v>0</v>
      </c>
      <c r="N106" s="590">
        <f t="shared" ref="N106" si="32">I106</f>
        <v>1179196.7813973147</v>
      </c>
      <c r="O106" s="505">
        <f t="shared" si="27"/>
        <v>0</v>
      </c>
      <c r="P106" s="505">
        <f t="shared" si="28"/>
        <v>0</v>
      </c>
      <c r="Q106" s="244"/>
      <c r="R106" s="244"/>
      <c r="S106" s="244"/>
      <c r="T106" s="244"/>
      <c r="U106" s="244"/>
    </row>
    <row r="107" spans="1:21" ht="12.5">
      <c r="B107" s="145" t="str">
        <f t="shared" si="23"/>
        <v/>
      </c>
      <c r="C107" s="496">
        <f>IF(D94="","-",+C106+1)</f>
        <v>2022</v>
      </c>
      <c r="D107" s="506">
        <v>6931521.7556395903</v>
      </c>
      <c r="E107" s="499">
        <v>406433.52380952379</v>
      </c>
      <c r="F107" s="506">
        <v>6525088.2318300661</v>
      </c>
      <c r="G107" s="499">
        <v>6728304.9937348282</v>
      </c>
      <c r="H107" s="500">
        <v>1179959.9433506974</v>
      </c>
      <c r="I107" s="500">
        <v>1179959.9433506974</v>
      </c>
      <c r="J107" s="505">
        <f t="shared" si="29"/>
        <v>0</v>
      </c>
      <c r="K107" s="505"/>
      <c r="L107" s="507">
        <f t="shared" ref="L107" si="33">H107</f>
        <v>1179959.9433506974</v>
      </c>
      <c r="M107" s="505">
        <f t="shared" ref="M107" si="34">IF(L107&lt;&gt;0,+H107-L107,0)</f>
        <v>0</v>
      </c>
      <c r="N107" s="590">
        <f t="shared" ref="N107" si="35">I107</f>
        <v>1179959.9433506974</v>
      </c>
      <c r="O107" s="505">
        <f t="shared" ref="O107" si="36">IF(N107&lt;&gt;0,+I107-N107,0)</f>
        <v>0</v>
      </c>
      <c r="P107" s="505">
        <f t="shared" ref="P107" si="37">+O107-M107</f>
        <v>0</v>
      </c>
      <c r="Q107" s="244"/>
      <c r="R107" s="244"/>
      <c r="S107" s="244"/>
      <c r="T107" s="244"/>
      <c r="U107" s="244"/>
    </row>
    <row r="108" spans="1:21" ht="12.5">
      <c r="B108" s="145" t="str">
        <f t="shared" si="23"/>
        <v/>
      </c>
      <c r="C108" s="496">
        <f>IF(D94="","-",+C107+1)</f>
        <v>2023</v>
      </c>
      <c r="D108" s="350">
        <f>IF(F107+SUM(E$100:E107)=D$93,F107,D$93-SUM(E$100:E107))</f>
        <v>6525088.2318300661</v>
      </c>
      <c r="E108" s="510">
        <f>IF(+J97&lt;F107,J97,D108)</f>
        <v>449216</v>
      </c>
      <c r="F108" s="511">
        <f t="shared" ref="F108:F155" si="38">+D108-E108</f>
        <v>6075872.2318300661</v>
      </c>
      <c r="G108" s="511">
        <f t="shared" ref="G108:G155" si="39">+(F108+D108)/2</f>
        <v>6300480.2318300661</v>
      </c>
      <c r="H108" s="645">
        <f t="shared" ref="H108:H155" si="40">(D108+F108)/2*J$95+E108</f>
        <v>1139963.8590299715</v>
      </c>
      <c r="I108" s="573">
        <f t="shared" ref="I108:I155" si="41">+J$96*G108+E108</f>
        <v>1139963.8590299715</v>
      </c>
      <c r="J108" s="505">
        <f t="shared" si="29"/>
        <v>0</v>
      </c>
      <c r="K108" s="505"/>
      <c r="L108" s="513"/>
      <c r="M108" s="505">
        <f t="shared" ref="M108:M131" si="42">IF(L108&lt;&gt;0,+H108-L108,0)</f>
        <v>0</v>
      </c>
      <c r="N108" s="513"/>
      <c r="O108" s="505">
        <f t="shared" si="27"/>
        <v>0</v>
      </c>
      <c r="P108" s="505">
        <f t="shared" si="28"/>
        <v>0</v>
      </c>
      <c r="Q108" s="244"/>
      <c r="R108" s="244"/>
      <c r="S108" s="244"/>
      <c r="T108" s="244"/>
      <c r="U108" s="244"/>
    </row>
    <row r="109" spans="1:21" ht="12.5">
      <c r="B109" s="145" t="str">
        <f t="shared" si="23"/>
        <v/>
      </c>
      <c r="C109" s="496">
        <f>IF(D94="","-",+C108+1)</f>
        <v>2024</v>
      </c>
      <c r="D109" s="350">
        <f>IF(F108+SUM(E$100:E108)=D$93,F108,D$93-SUM(E$100:E108))</f>
        <v>6075872.2318300661</v>
      </c>
      <c r="E109" s="510">
        <f>IF(+J97&lt;F108,J97,D109)</f>
        <v>449216</v>
      </c>
      <c r="F109" s="511">
        <f t="shared" si="38"/>
        <v>5626656.2318300661</v>
      </c>
      <c r="G109" s="511">
        <f t="shared" si="39"/>
        <v>5851264.2318300661</v>
      </c>
      <c r="H109" s="645">
        <f t="shared" si="40"/>
        <v>1090714.440124664</v>
      </c>
      <c r="I109" s="573">
        <f t="shared" si="41"/>
        <v>1090714.440124664</v>
      </c>
      <c r="J109" s="505">
        <f t="shared" si="29"/>
        <v>0</v>
      </c>
      <c r="K109" s="505"/>
      <c r="L109" s="513"/>
      <c r="M109" s="505">
        <f t="shared" si="42"/>
        <v>0</v>
      </c>
      <c r="N109" s="513"/>
      <c r="O109" s="505">
        <f t="shared" si="27"/>
        <v>0</v>
      </c>
      <c r="P109" s="505">
        <f t="shared" si="28"/>
        <v>0</v>
      </c>
      <c r="Q109" s="244"/>
      <c r="R109" s="244"/>
      <c r="S109" s="244"/>
      <c r="T109" s="244"/>
      <c r="U109" s="244"/>
    </row>
    <row r="110" spans="1:21" ht="12.5">
      <c r="B110" s="145" t="str">
        <f t="shared" si="23"/>
        <v/>
      </c>
      <c r="C110" s="496">
        <f>IF(D94="","-",+C109+1)</f>
        <v>2025</v>
      </c>
      <c r="D110" s="350">
        <f>IF(F109+SUM(E$100:E109)=D$93,F109,D$93-SUM(E$100:E109))</f>
        <v>5626656.2318300661</v>
      </c>
      <c r="E110" s="510">
        <f>IF(+J97&lt;F109,J97,D110)</f>
        <v>449216</v>
      </c>
      <c r="F110" s="511">
        <f t="shared" si="38"/>
        <v>5177440.2318300661</v>
      </c>
      <c r="G110" s="511">
        <f t="shared" si="39"/>
        <v>5402048.2318300661</v>
      </c>
      <c r="H110" s="645">
        <f t="shared" si="40"/>
        <v>1041465.0212193565</v>
      </c>
      <c r="I110" s="573">
        <f t="shared" si="41"/>
        <v>1041465.0212193565</v>
      </c>
      <c r="J110" s="505">
        <f t="shared" si="29"/>
        <v>0</v>
      </c>
      <c r="K110" s="505"/>
      <c r="L110" s="513"/>
      <c r="M110" s="505">
        <f t="shared" si="42"/>
        <v>0</v>
      </c>
      <c r="N110" s="513"/>
      <c r="O110" s="505">
        <f t="shared" si="27"/>
        <v>0</v>
      </c>
      <c r="P110" s="505">
        <f t="shared" si="28"/>
        <v>0</v>
      </c>
      <c r="Q110" s="244"/>
      <c r="R110" s="244"/>
      <c r="S110" s="244"/>
      <c r="T110" s="244"/>
      <c r="U110" s="244"/>
    </row>
    <row r="111" spans="1:21" ht="12.5">
      <c r="B111" s="145" t="str">
        <f t="shared" si="23"/>
        <v/>
      </c>
      <c r="C111" s="496">
        <f>IF(D94="","-",+C110+1)</f>
        <v>2026</v>
      </c>
      <c r="D111" s="350">
        <f>IF(F110+SUM(E$100:E110)=D$93,F110,D$93-SUM(E$100:E110))</f>
        <v>5177440.2318300661</v>
      </c>
      <c r="E111" s="510">
        <f>IF(+J97&lt;F110,J97,D111)</f>
        <v>449216</v>
      </c>
      <c r="F111" s="511">
        <f t="shared" si="38"/>
        <v>4728224.2318300661</v>
      </c>
      <c r="G111" s="511">
        <f t="shared" si="39"/>
        <v>4952832.2318300661</v>
      </c>
      <c r="H111" s="645">
        <f t="shared" si="40"/>
        <v>992215.60231404903</v>
      </c>
      <c r="I111" s="573">
        <f t="shared" si="41"/>
        <v>992215.60231404903</v>
      </c>
      <c r="J111" s="505">
        <f t="shared" si="29"/>
        <v>0</v>
      </c>
      <c r="K111" s="505"/>
      <c r="L111" s="513"/>
      <c r="M111" s="505">
        <f t="shared" si="42"/>
        <v>0</v>
      </c>
      <c r="N111" s="513"/>
      <c r="O111" s="505">
        <f t="shared" si="27"/>
        <v>0</v>
      </c>
      <c r="P111" s="505">
        <f t="shared" si="28"/>
        <v>0</v>
      </c>
      <c r="Q111" s="244"/>
      <c r="R111" s="244"/>
      <c r="S111" s="244"/>
      <c r="T111" s="244"/>
      <c r="U111" s="244"/>
    </row>
    <row r="112" spans="1:21" ht="12.5">
      <c r="B112" s="145" t="str">
        <f t="shared" si="23"/>
        <v/>
      </c>
      <c r="C112" s="496">
        <f>IF(D94="","-",+C111+1)</f>
        <v>2027</v>
      </c>
      <c r="D112" s="350">
        <f>IF(F111+SUM(E$100:E111)=D$93,F111,D$93-SUM(E$100:E111))</f>
        <v>4728224.2318300661</v>
      </c>
      <c r="E112" s="510">
        <f>IF(+J97&lt;F111,J97,D112)</f>
        <v>449216</v>
      </c>
      <c r="F112" s="511">
        <f t="shared" si="38"/>
        <v>4279008.2318300661</v>
      </c>
      <c r="G112" s="511">
        <f t="shared" si="39"/>
        <v>4503616.2318300661</v>
      </c>
      <c r="H112" s="645">
        <f t="shared" si="40"/>
        <v>942966.18340874161</v>
      </c>
      <c r="I112" s="573">
        <f t="shared" si="41"/>
        <v>942966.18340874161</v>
      </c>
      <c r="J112" s="505">
        <f t="shared" si="29"/>
        <v>0</v>
      </c>
      <c r="K112" s="505"/>
      <c r="L112" s="513"/>
      <c r="M112" s="505">
        <f t="shared" si="42"/>
        <v>0</v>
      </c>
      <c r="N112" s="513"/>
      <c r="O112" s="505">
        <f t="shared" si="27"/>
        <v>0</v>
      </c>
      <c r="P112" s="505">
        <f t="shared" si="28"/>
        <v>0</v>
      </c>
      <c r="Q112" s="244"/>
      <c r="R112" s="244"/>
      <c r="S112" s="244"/>
      <c r="T112" s="244"/>
      <c r="U112" s="244"/>
    </row>
    <row r="113" spans="2:21" ht="12.5">
      <c r="B113" s="145" t="str">
        <f t="shared" si="23"/>
        <v/>
      </c>
      <c r="C113" s="496">
        <f>IF(D94="","-",+C112+1)</f>
        <v>2028</v>
      </c>
      <c r="D113" s="350">
        <f>IF(F112+SUM(E$100:E112)=D$93,F112,D$93-SUM(E$100:E112))</f>
        <v>4279008.2318300661</v>
      </c>
      <c r="E113" s="510">
        <f>IF(+J97&lt;F112,J97,D113)</f>
        <v>449216</v>
      </c>
      <c r="F113" s="511">
        <f t="shared" si="38"/>
        <v>3829792.2318300661</v>
      </c>
      <c r="G113" s="511">
        <f t="shared" si="39"/>
        <v>4054400.2318300661</v>
      </c>
      <c r="H113" s="645">
        <f t="shared" si="40"/>
        <v>893716.76450343407</v>
      </c>
      <c r="I113" s="573">
        <f t="shared" si="41"/>
        <v>893716.76450343407</v>
      </c>
      <c r="J113" s="505">
        <f t="shared" si="29"/>
        <v>0</v>
      </c>
      <c r="K113" s="505"/>
      <c r="L113" s="513"/>
      <c r="M113" s="505">
        <f t="shared" si="42"/>
        <v>0</v>
      </c>
      <c r="N113" s="513"/>
      <c r="O113" s="505">
        <f t="shared" si="27"/>
        <v>0</v>
      </c>
      <c r="P113" s="505">
        <f t="shared" si="28"/>
        <v>0</v>
      </c>
      <c r="Q113" s="244"/>
      <c r="R113" s="244"/>
      <c r="S113" s="244"/>
      <c r="T113" s="244"/>
      <c r="U113" s="244"/>
    </row>
    <row r="114" spans="2:21" ht="12.5">
      <c r="B114" s="145" t="str">
        <f t="shared" si="23"/>
        <v/>
      </c>
      <c r="C114" s="496">
        <f>IF(D94="","-",+C113+1)</f>
        <v>2029</v>
      </c>
      <c r="D114" s="350">
        <f>IF(F113+SUM(E$100:E113)=D$93,F113,D$93-SUM(E$100:E113))</f>
        <v>3829792.2318300661</v>
      </c>
      <c r="E114" s="510">
        <f>IF(+J97&lt;F113,J97,D114)</f>
        <v>449216</v>
      </c>
      <c r="F114" s="511">
        <f t="shared" si="38"/>
        <v>3380576.2318300661</v>
      </c>
      <c r="G114" s="511">
        <f t="shared" si="39"/>
        <v>3605184.2318300661</v>
      </c>
      <c r="H114" s="645">
        <f t="shared" si="40"/>
        <v>844467.34559812653</v>
      </c>
      <c r="I114" s="573">
        <f t="shared" si="41"/>
        <v>844467.34559812653</v>
      </c>
      <c r="J114" s="505">
        <f t="shared" si="29"/>
        <v>0</v>
      </c>
      <c r="K114" s="505"/>
      <c r="L114" s="513"/>
      <c r="M114" s="505">
        <f t="shared" si="42"/>
        <v>0</v>
      </c>
      <c r="N114" s="513"/>
      <c r="O114" s="505">
        <f t="shared" si="27"/>
        <v>0</v>
      </c>
      <c r="P114" s="505">
        <f t="shared" si="28"/>
        <v>0</v>
      </c>
      <c r="Q114" s="244"/>
      <c r="R114" s="244"/>
      <c r="S114" s="244"/>
      <c r="T114" s="244"/>
      <c r="U114" s="244"/>
    </row>
    <row r="115" spans="2:21" ht="12.5">
      <c r="B115" s="145" t="str">
        <f t="shared" si="23"/>
        <v/>
      </c>
      <c r="C115" s="496">
        <f>IF(D94="","-",+C114+1)</f>
        <v>2030</v>
      </c>
      <c r="D115" s="350">
        <f>IF(F114+SUM(E$100:E114)=D$93,F114,D$93-SUM(E$100:E114))</f>
        <v>3380576.2318300661</v>
      </c>
      <c r="E115" s="510">
        <f>IF(+J97&lt;F114,J97,D115)</f>
        <v>449216</v>
      </c>
      <c r="F115" s="511">
        <f t="shared" si="38"/>
        <v>2931360.2318300661</v>
      </c>
      <c r="G115" s="511">
        <f t="shared" si="39"/>
        <v>3155968.2318300661</v>
      </c>
      <c r="H115" s="645">
        <f t="shared" si="40"/>
        <v>795217.92669281922</v>
      </c>
      <c r="I115" s="573">
        <f t="shared" si="41"/>
        <v>795217.92669281922</v>
      </c>
      <c r="J115" s="505">
        <f t="shared" si="29"/>
        <v>0</v>
      </c>
      <c r="K115" s="505"/>
      <c r="L115" s="513"/>
      <c r="M115" s="505">
        <f t="shared" si="42"/>
        <v>0</v>
      </c>
      <c r="N115" s="513"/>
      <c r="O115" s="505">
        <f t="shared" si="27"/>
        <v>0</v>
      </c>
      <c r="P115" s="505">
        <f t="shared" si="28"/>
        <v>0</v>
      </c>
      <c r="Q115" s="244"/>
      <c r="R115" s="244"/>
      <c r="S115" s="244"/>
      <c r="T115" s="244"/>
      <c r="U115" s="244"/>
    </row>
    <row r="116" spans="2:21" ht="12.5">
      <c r="B116" s="145" t="str">
        <f t="shared" si="23"/>
        <v/>
      </c>
      <c r="C116" s="496">
        <f>IF(D94="","-",+C115+1)</f>
        <v>2031</v>
      </c>
      <c r="D116" s="350">
        <f>IF(F115+SUM(E$100:E115)=D$93,F115,D$93-SUM(E$100:E115))</f>
        <v>2931360.2318300661</v>
      </c>
      <c r="E116" s="510">
        <f>IF(+J97&lt;F115,J97,D116)</f>
        <v>449216</v>
      </c>
      <c r="F116" s="511">
        <f t="shared" si="38"/>
        <v>2482144.2318300661</v>
      </c>
      <c r="G116" s="511">
        <f t="shared" si="39"/>
        <v>2706752.2318300661</v>
      </c>
      <c r="H116" s="645">
        <f t="shared" si="40"/>
        <v>745968.50778751168</v>
      </c>
      <c r="I116" s="573">
        <f t="shared" si="41"/>
        <v>745968.50778751168</v>
      </c>
      <c r="J116" s="505">
        <f t="shared" si="29"/>
        <v>0</v>
      </c>
      <c r="K116" s="505"/>
      <c r="L116" s="513"/>
      <c r="M116" s="505">
        <f t="shared" si="42"/>
        <v>0</v>
      </c>
      <c r="N116" s="513"/>
      <c r="O116" s="505">
        <f t="shared" si="27"/>
        <v>0</v>
      </c>
      <c r="P116" s="505">
        <f t="shared" si="28"/>
        <v>0</v>
      </c>
      <c r="Q116" s="244"/>
      <c r="R116" s="244"/>
      <c r="S116" s="244"/>
      <c r="T116" s="244"/>
      <c r="U116" s="244"/>
    </row>
    <row r="117" spans="2:21" ht="12.5">
      <c r="B117" s="145" t="str">
        <f t="shared" si="23"/>
        <v/>
      </c>
      <c r="C117" s="496">
        <f>IF(D94="","-",+C116+1)</f>
        <v>2032</v>
      </c>
      <c r="D117" s="350">
        <f>IF(F116+SUM(E$100:E116)=D$93,F116,D$93-SUM(E$100:E116))</f>
        <v>2482144.2318300661</v>
      </c>
      <c r="E117" s="510">
        <f>IF(+J97&lt;F116,J97,D117)</f>
        <v>449216</v>
      </c>
      <c r="F117" s="511">
        <f t="shared" si="38"/>
        <v>2032928.2318300661</v>
      </c>
      <c r="G117" s="511">
        <f t="shared" si="39"/>
        <v>2257536.2318300661</v>
      </c>
      <c r="H117" s="645">
        <f t="shared" si="40"/>
        <v>696719.08888220415</v>
      </c>
      <c r="I117" s="573">
        <f t="shared" si="41"/>
        <v>696719.08888220415</v>
      </c>
      <c r="J117" s="505">
        <f t="shared" si="29"/>
        <v>0</v>
      </c>
      <c r="K117" s="505"/>
      <c r="L117" s="513"/>
      <c r="M117" s="505">
        <f t="shared" si="42"/>
        <v>0</v>
      </c>
      <c r="N117" s="513"/>
      <c r="O117" s="505">
        <f t="shared" si="27"/>
        <v>0</v>
      </c>
      <c r="P117" s="505">
        <f t="shared" si="28"/>
        <v>0</v>
      </c>
      <c r="Q117" s="244"/>
      <c r="R117" s="244"/>
      <c r="S117" s="244"/>
      <c r="T117" s="244"/>
      <c r="U117" s="244"/>
    </row>
    <row r="118" spans="2:21" ht="12.5">
      <c r="B118" s="145" t="str">
        <f t="shared" si="23"/>
        <v/>
      </c>
      <c r="C118" s="496">
        <f>IF(D94="","-",+C117+1)</f>
        <v>2033</v>
      </c>
      <c r="D118" s="350">
        <f>IF(F117+SUM(E$100:E117)=D$93,F117,D$93-SUM(E$100:E117))</f>
        <v>2032928.2318300661</v>
      </c>
      <c r="E118" s="510">
        <f>IF(+J97&lt;F117,J97,D118)</f>
        <v>449216</v>
      </c>
      <c r="F118" s="511">
        <f t="shared" si="38"/>
        <v>1583712.2318300661</v>
      </c>
      <c r="G118" s="511">
        <f t="shared" si="39"/>
        <v>1808320.2318300661</v>
      </c>
      <c r="H118" s="645">
        <f t="shared" si="40"/>
        <v>647469.66997689672</v>
      </c>
      <c r="I118" s="573">
        <f t="shared" si="41"/>
        <v>647469.66997689672</v>
      </c>
      <c r="J118" s="505">
        <f t="shared" si="29"/>
        <v>0</v>
      </c>
      <c r="K118" s="505"/>
      <c r="L118" s="513"/>
      <c r="M118" s="505">
        <f t="shared" si="42"/>
        <v>0</v>
      </c>
      <c r="N118" s="513"/>
      <c r="O118" s="505">
        <f t="shared" si="27"/>
        <v>0</v>
      </c>
      <c r="P118" s="505">
        <f t="shared" si="28"/>
        <v>0</v>
      </c>
      <c r="Q118" s="244"/>
      <c r="R118" s="244"/>
      <c r="S118" s="244"/>
      <c r="T118" s="244"/>
      <c r="U118" s="244"/>
    </row>
    <row r="119" spans="2:21" ht="12.5">
      <c r="B119" s="145" t="str">
        <f t="shared" si="23"/>
        <v/>
      </c>
      <c r="C119" s="496">
        <f>IF(D94="","-",+C118+1)</f>
        <v>2034</v>
      </c>
      <c r="D119" s="350">
        <f>IF(F118+SUM(E$100:E118)=D$93,F118,D$93-SUM(E$100:E118))</f>
        <v>1583712.2318300661</v>
      </c>
      <c r="E119" s="510">
        <f>IF(+J97&lt;F118,J97,D119)</f>
        <v>449216</v>
      </c>
      <c r="F119" s="511">
        <f t="shared" si="38"/>
        <v>1134496.2318300661</v>
      </c>
      <c r="G119" s="511">
        <f t="shared" si="39"/>
        <v>1359104.2318300661</v>
      </c>
      <c r="H119" s="645">
        <f t="shared" si="40"/>
        <v>598220.2510715893</v>
      </c>
      <c r="I119" s="573">
        <f t="shared" si="41"/>
        <v>598220.2510715893</v>
      </c>
      <c r="J119" s="505">
        <f t="shared" si="29"/>
        <v>0</v>
      </c>
      <c r="K119" s="505"/>
      <c r="L119" s="513"/>
      <c r="M119" s="505">
        <f t="shared" si="42"/>
        <v>0</v>
      </c>
      <c r="N119" s="513"/>
      <c r="O119" s="505">
        <f t="shared" si="27"/>
        <v>0</v>
      </c>
      <c r="P119" s="505">
        <f t="shared" si="28"/>
        <v>0</v>
      </c>
      <c r="Q119" s="244"/>
      <c r="R119" s="244"/>
      <c r="S119" s="244"/>
      <c r="T119" s="244"/>
      <c r="U119" s="244"/>
    </row>
    <row r="120" spans="2:21" ht="12.5">
      <c r="B120" s="145" t="str">
        <f t="shared" si="23"/>
        <v/>
      </c>
      <c r="C120" s="496">
        <f>IF(D94="","-",+C119+1)</f>
        <v>2035</v>
      </c>
      <c r="D120" s="350">
        <f>IF(F119+SUM(E$100:E119)=D$93,F119,D$93-SUM(E$100:E119))</f>
        <v>1134496.2318300661</v>
      </c>
      <c r="E120" s="510">
        <f>IF(+J97&lt;F119,J97,D120)</f>
        <v>449216</v>
      </c>
      <c r="F120" s="511">
        <f t="shared" si="38"/>
        <v>685280.23183006607</v>
      </c>
      <c r="G120" s="511">
        <f t="shared" si="39"/>
        <v>909888.23183006607</v>
      </c>
      <c r="H120" s="645">
        <f t="shared" si="40"/>
        <v>548970.83216628176</v>
      </c>
      <c r="I120" s="573">
        <f t="shared" si="41"/>
        <v>548970.83216628176</v>
      </c>
      <c r="J120" s="505">
        <f t="shared" si="29"/>
        <v>0</v>
      </c>
      <c r="K120" s="505"/>
      <c r="L120" s="513"/>
      <c r="M120" s="505">
        <f t="shared" si="42"/>
        <v>0</v>
      </c>
      <c r="N120" s="513"/>
      <c r="O120" s="505">
        <f t="shared" si="27"/>
        <v>0</v>
      </c>
      <c r="P120" s="505">
        <f t="shared" si="28"/>
        <v>0</v>
      </c>
      <c r="Q120" s="244"/>
      <c r="R120" s="244"/>
      <c r="S120" s="244"/>
      <c r="T120" s="244"/>
      <c r="U120" s="244"/>
    </row>
    <row r="121" spans="2:21" ht="12.5">
      <c r="B121" s="145" t="str">
        <f t="shared" si="23"/>
        <v/>
      </c>
      <c r="C121" s="496">
        <f>IF(D94="","-",+C120+1)</f>
        <v>2036</v>
      </c>
      <c r="D121" s="350">
        <f>IF(F120+SUM(E$100:E120)=D$93,F120,D$93-SUM(E$100:E120))</f>
        <v>685280.23183006607</v>
      </c>
      <c r="E121" s="510">
        <f>IF(+J97&lt;F120,J97,D121)</f>
        <v>449216</v>
      </c>
      <c r="F121" s="511">
        <f t="shared" si="38"/>
        <v>236064.23183006607</v>
      </c>
      <c r="G121" s="511">
        <f t="shared" si="39"/>
        <v>460672.23183006607</v>
      </c>
      <c r="H121" s="645">
        <f t="shared" si="40"/>
        <v>499721.41326097434</v>
      </c>
      <c r="I121" s="573">
        <f t="shared" si="41"/>
        <v>499721.41326097434</v>
      </c>
      <c r="J121" s="505">
        <f t="shared" si="29"/>
        <v>0</v>
      </c>
      <c r="K121" s="505"/>
      <c r="L121" s="513"/>
      <c r="M121" s="505">
        <f t="shared" si="42"/>
        <v>0</v>
      </c>
      <c r="N121" s="513"/>
      <c r="O121" s="505">
        <f t="shared" si="27"/>
        <v>0</v>
      </c>
      <c r="P121" s="505">
        <f t="shared" si="28"/>
        <v>0</v>
      </c>
      <c r="Q121" s="244"/>
      <c r="R121" s="244"/>
      <c r="S121" s="244"/>
      <c r="T121" s="244"/>
      <c r="U121" s="244"/>
    </row>
    <row r="122" spans="2:21" ht="12.5">
      <c r="B122" s="145" t="str">
        <f t="shared" si="23"/>
        <v/>
      </c>
      <c r="C122" s="496">
        <f>IF(D94="","-",+C121+1)</f>
        <v>2037</v>
      </c>
      <c r="D122" s="350">
        <f>IF(F121+SUM(E$100:E121)=D$93,F121,D$93-SUM(E$100:E121))</f>
        <v>236064.23183006607</v>
      </c>
      <c r="E122" s="510">
        <f>IF(+J97&lt;F121,J97,D122)</f>
        <v>236064.23183006607</v>
      </c>
      <c r="F122" s="511">
        <f t="shared" si="38"/>
        <v>0</v>
      </c>
      <c r="G122" s="511">
        <f t="shared" si="39"/>
        <v>118032.11591503303</v>
      </c>
      <c r="H122" s="645">
        <f t="shared" si="40"/>
        <v>249004.58373422635</v>
      </c>
      <c r="I122" s="573">
        <f t="shared" si="41"/>
        <v>249004.58373422635</v>
      </c>
      <c r="J122" s="505">
        <f t="shared" si="29"/>
        <v>0</v>
      </c>
      <c r="K122" s="505"/>
      <c r="L122" s="513"/>
      <c r="M122" s="505">
        <f t="shared" si="42"/>
        <v>0</v>
      </c>
      <c r="N122" s="513"/>
      <c r="O122" s="505">
        <f t="shared" si="27"/>
        <v>0</v>
      </c>
      <c r="P122" s="505">
        <f t="shared" si="28"/>
        <v>0</v>
      </c>
      <c r="Q122" s="244"/>
      <c r="R122" s="244"/>
      <c r="S122" s="244"/>
      <c r="T122" s="244"/>
      <c r="U122" s="244"/>
    </row>
    <row r="123" spans="2:21" ht="12.5">
      <c r="B123" s="145" t="str">
        <f t="shared" si="23"/>
        <v/>
      </c>
      <c r="C123" s="496">
        <f>IF(D94="","-",+C122+1)</f>
        <v>2038</v>
      </c>
      <c r="D123" s="350">
        <f>IF(F122+SUM(E$100:E122)=D$93,F122,D$93-SUM(E$100:E122))</f>
        <v>0</v>
      </c>
      <c r="E123" s="510">
        <f>IF(+J97&lt;F122,J97,D123)</f>
        <v>0</v>
      </c>
      <c r="F123" s="511">
        <f t="shared" si="38"/>
        <v>0</v>
      </c>
      <c r="G123" s="511">
        <f t="shared" si="39"/>
        <v>0</v>
      </c>
      <c r="H123" s="645">
        <f t="shared" si="40"/>
        <v>0</v>
      </c>
      <c r="I123" s="573">
        <f t="shared" si="41"/>
        <v>0</v>
      </c>
      <c r="J123" s="505">
        <f t="shared" si="29"/>
        <v>0</v>
      </c>
      <c r="K123" s="505"/>
      <c r="L123" s="513"/>
      <c r="M123" s="505">
        <f t="shared" si="42"/>
        <v>0</v>
      </c>
      <c r="N123" s="513"/>
      <c r="O123" s="505">
        <f t="shared" si="27"/>
        <v>0</v>
      </c>
      <c r="P123" s="505">
        <f t="shared" si="28"/>
        <v>0</v>
      </c>
      <c r="Q123" s="244"/>
      <c r="R123" s="244"/>
      <c r="S123" s="244"/>
      <c r="T123" s="244"/>
      <c r="U123" s="244"/>
    </row>
    <row r="124" spans="2:21" ht="12.5">
      <c r="B124" s="145" t="str">
        <f t="shared" si="23"/>
        <v/>
      </c>
      <c r="C124" s="496">
        <f>IF(D94="","-",+C123+1)</f>
        <v>2039</v>
      </c>
      <c r="D124" s="350">
        <f>IF(F123+SUM(E$100:E123)=D$93,F123,D$93-SUM(E$100:E123))</f>
        <v>0</v>
      </c>
      <c r="E124" s="510">
        <f>IF(+J97&lt;F123,J97,D124)</f>
        <v>0</v>
      </c>
      <c r="F124" s="511">
        <f t="shared" si="38"/>
        <v>0</v>
      </c>
      <c r="G124" s="511">
        <f t="shared" si="39"/>
        <v>0</v>
      </c>
      <c r="H124" s="645">
        <f t="shared" si="40"/>
        <v>0</v>
      </c>
      <c r="I124" s="573">
        <f t="shared" si="41"/>
        <v>0</v>
      </c>
      <c r="J124" s="505">
        <f t="shared" si="29"/>
        <v>0</v>
      </c>
      <c r="K124" s="505"/>
      <c r="L124" s="513"/>
      <c r="M124" s="505">
        <f t="shared" si="42"/>
        <v>0</v>
      </c>
      <c r="N124" s="513"/>
      <c r="O124" s="505">
        <f t="shared" si="27"/>
        <v>0</v>
      </c>
      <c r="P124" s="505">
        <f t="shared" si="28"/>
        <v>0</v>
      </c>
      <c r="Q124" s="244"/>
      <c r="R124" s="244"/>
      <c r="S124" s="244"/>
      <c r="T124" s="244"/>
      <c r="U124" s="244"/>
    </row>
    <row r="125" spans="2:21" ht="12.5">
      <c r="B125" s="145" t="str">
        <f t="shared" si="23"/>
        <v/>
      </c>
      <c r="C125" s="496">
        <f>IF(D94="","-",+C124+1)</f>
        <v>2040</v>
      </c>
      <c r="D125" s="350">
        <f>IF(F124+SUM(E$100:E124)=D$93,F124,D$93-SUM(E$100:E124))</f>
        <v>0</v>
      </c>
      <c r="E125" s="510">
        <f>IF(+J97&lt;F124,J97,D125)</f>
        <v>0</v>
      </c>
      <c r="F125" s="511">
        <f t="shared" si="38"/>
        <v>0</v>
      </c>
      <c r="G125" s="511">
        <f t="shared" si="39"/>
        <v>0</v>
      </c>
      <c r="H125" s="645">
        <f t="shared" si="40"/>
        <v>0</v>
      </c>
      <c r="I125" s="573">
        <f t="shared" si="41"/>
        <v>0</v>
      </c>
      <c r="J125" s="505">
        <f t="shared" si="29"/>
        <v>0</v>
      </c>
      <c r="K125" s="505"/>
      <c r="L125" s="513"/>
      <c r="M125" s="505">
        <f t="shared" si="42"/>
        <v>0</v>
      </c>
      <c r="N125" s="513"/>
      <c r="O125" s="505">
        <f t="shared" si="27"/>
        <v>0</v>
      </c>
      <c r="P125" s="505">
        <f t="shared" si="28"/>
        <v>0</v>
      </c>
      <c r="Q125" s="244"/>
      <c r="R125" s="244"/>
      <c r="S125" s="244"/>
      <c r="T125" s="244"/>
      <c r="U125" s="244"/>
    </row>
    <row r="126" spans="2:21" ht="12.5">
      <c r="B126" s="145" t="str">
        <f t="shared" si="23"/>
        <v/>
      </c>
      <c r="C126" s="496">
        <f>IF(D94="","-",+C125+1)</f>
        <v>2041</v>
      </c>
      <c r="D126" s="350">
        <f>IF(F125+SUM(E$100:E125)=D$93,F125,D$93-SUM(E$100:E125))</f>
        <v>0</v>
      </c>
      <c r="E126" s="510">
        <f>IF(+J97&lt;F125,J97,D126)</f>
        <v>0</v>
      </c>
      <c r="F126" s="511">
        <f t="shared" si="38"/>
        <v>0</v>
      </c>
      <c r="G126" s="511">
        <f t="shared" si="39"/>
        <v>0</v>
      </c>
      <c r="H126" s="645">
        <f t="shared" si="40"/>
        <v>0</v>
      </c>
      <c r="I126" s="573">
        <f t="shared" si="41"/>
        <v>0</v>
      </c>
      <c r="J126" s="505">
        <f t="shared" si="29"/>
        <v>0</v>
      </c>
      <c r="K126" s="505"/>
      <c r="L126" s="513"/>
      <c r="M126" s="505">
        <f t="shared" si="42"/>
        <v>0</v>
      </c>
      <c r="N126" s="513"/>
      <c r="O126" s="505">
        <f t="shared" si="27"/>
        <v>0</v>
      </c>
      <c r="P126" s="505">
        <f t="shared" si="28"/>
        <v>0</v>
      </c>
      <c r="Q126" s="244"/>
      <c r="R126" s="244"/>
      <c r="S126" s="244"/>
      <c r="T126" s="244"/>
      <c r="U126" s="244"/>
    </row>
    <row r="127" spans="2:21" ht="12.5">
      <c r="B127" s="145" t="str">
        <f t="shared" si="23"/>
        <v/>
      </c>
      <c r="C127" s="496">
        <f>IF(D94="","-",+C126+1)</f>
        <v>2042</v>
      </c>
      <c r="D127" s="350">
        <f>IF(F126+SUM(E$100:E126)=D$93,F126,D$93-SUM(E$100:E126))</f>
        <v>0</v>
      </c>
      <c r="E127" s="510">
        <f>IF(+J97&lt;F126,J97,D127)</f>
        <v>0</v>
      </c>
      <c r="F127" s="511">
        <f t="shared" si="38"/>
        <v>0</v>
      </c>
      <c r="G127" s="511">
        <f t="shared" si="39"/>
        <v>0</v>
      </c>
      <c r="H127" s="645">
        <f t="shared" si="40"/>
        <v>0</v>
      </c>
      <c r="I127" s="573">
        <f t="shared" si="41"/>
        <v>0</v>
      </c>
      <c r="J127" s="505">
        <f t="shared" si="29"/>
        <v>0</v>
      </c>
      <c r="K127" s="505"/>
      <c r="L127" s="513"/>
      <c r="M127" s="505">
        <f t="shared" si="42"/>
        <v>0</v>
      </c>
      <c r="N127" s="513"/>
      <c r="O127" s="505">
        <f t="shared" si="27"/>
        <v>0</v>
      </c>
      <c r="P127" s="505">
        <f t="shared" si="28"/>
        <v>0</v>
      </c>
      <c r="Q127" s="244"/>
      <c r="R127" s="244"/>
      <c r="S127" s="244"/>
      <c r="T127" s="244"/>
      <c r="U127" s="244"/>
    </row>
    <row r="128" spans="2:21" ht="12.5">
      <c r="B128" s="145" t="str">
        <f t="shared" si="23"/>
        <v/>
      </c>
      <c r="C128" s="496">
        <f>IF(D94="","-",+C127+1)</f>
        <v>2043</v>
      </c>
      <c r="D128" s="350">
        <f>IF(F127+SUM(E$100:E127)=D$93,F127,D$93-SUM(E$100:E127))</f>
        <v>0</v>
      </c>
      <c r="E128" s="510">
        <f>IF(+J97&lt;F127,J97,D128)</f>
        <v>0</v>
      </c>
      <c r="F128" s="511">
        <f t="shared" si="38"/>
        <v>0</v>
      </c>
      <c r="G128" s="511">
        <f t="shared" si="39"/>
        <v>0</v>
      </c>
      <c r="H128" s="645">
        <f t="shared" si="40"/>
        <v>0</v>
      </c>
      <c r="I128" s="573">
        <f t="shared" si="41"/>
        <v>0</v>
      </c>
      <c r="J128" s="505">
        <f t="shared" si="29"/>
        <v>0</v>
      </c>
      <c r="K128" s="505"/>
      <c r="L128" s="513"/>
      <c r="M128" s="505">
        <f t="shared" si="42"/>
        <v>0</v>
      </c>
      <c r="N128" s="513"/>
      <c r="O128" s="505">
        <f t="shared" si="27"/>
        <v>0</v>
      </c>
      <c r="P128" s="505">
        <f t="shared" si="28"/>
        <v>0</v>
      </c>
      <c r="Q128" s="244"/>
      <c r="R128" s="244"/>
      <c r="S128" s="244"/>
      <c r="T128" s="244"/>
      <c r="U128" s="244"/>
    </row>
    <row r="129" spans="2:21" ht="12.5">
      <c r="B129" s="145" t="str">
        <f t="shared" si="23"/>
        <v/>
      </c>
      <c r="C129" s="496">
        <f>IF(D94="","-",+C128+1)</f>
        <v>2044</v>
      </c>
      <c r="D129" s="350">
        <f>IF(F128+SUM(E$100:E128)=D$93,F128,D$93-SUM(E$100:E128))</f>
        <v>0</v>
      </c>
      <c r="E129" s="510">
        <f>IF(+J97&lt;F128,J97,D129)</f>
        <v>0</v>
      </c>
      <c r="F129" s="511">
        <f t="shared" si="38"/>
        <v>0</v>
      </c>
      <c r="G129" s="511">
        <f t="shared" si="39"/>
        <v>0</v>
      </c>
      <c r="H129" s="645">
        <f t="shared" si="40"/>
        <v>0</v>
      </c>
      <c r="I129" s="573">
        <f t="shared" si="41"/>
        <v>0</v>
      </c>
      <c r="J129" s="505">
        <f t="shared" si="29"/>
        <v>0</v>
      </c>
      <c r="K129" s="505"/>
      <c r="L129" s="513"/>
      <c r="M129" s="505">
        <f t="shared" si="42"/>
        <v>0</v>
      </c>
      <c r="N129" s="513"/>
      <c r="O129" s="505">
        <f t="shared" si="27"/>
        <v>0</v>
      </c>
      <c r="P129" s="505">
        <f t="shared" si="28"/>
        <v>0</v>
      </c>
      <c r="Q129" s="244"/>
      <c r="R129" s="244"/>
      <c r="S129" s="244"/>
      <c r="T129" s="244"/>
      <c r="U129" s="244"/>
    </row>
    <row r="130" spans="2:21" ht="12.5">
      <c r="B130" s="145" t="str">
        <f t="shared" si="23"/>
        <v/>
      </c>
      <c r="C130" s="496">
        <f>IF(D94="","-",+C129+1)</f>
        <v>2045</v>
      </c>
      <c r="D130" s="350">
        <f>IF(F129+SUM(E$100:E129)=D$93,F129,D$93-SUM(E$100:E129))</f>
        <v>0</v>
      </c>
      <c r="E130" s="510">
        <f>IF(+J97&lt;F129,J97,D130)</f>
        <v>0</v>
      </c>
      <c r="F130" s="511">
        <f t="shared" si="38"/>
        <v>0</v>
      </c>
      <c r="G130" s="511">
        <f t="shared" si="39"/>
        <v>0</v>
      </c>
      <c r="H130" s="645">
        <f t="shared" si="40"/>
        <v>0</v>
      </c>
      <c r="I130" s="573">
        <f t="shared" si="41"/>
        <v>0</v>
      </c>
      <c r="J130" s="505">
        <f t="shared" si="29"/>
        <v>0</v>
      </c>
      <c r="K130" s="505"/>
      <c r="L130" s="513"/>
      <c r="M130" s="505">
        <f t="shared" si="42"/>
        <v>0</v>
      </c>
      <c r="N130" s="513"/>
      <c r="O130" s="505">
        <f t="shared" si="27"/>
        <v>0</v>
      </c>
      <c r="P130" s="505">
        <f t="shared" si="28"/>
        <v>0</v>
      </c>
      <c r="Q130" s="244"/>
      <c r="R130" s="244"/>
      <c r="S130" s="244"/>
      <c r="T130" s="244"/>
      <c r="U130" s="244"/>
    </row>
    <row r="131" spans="2:21" ht="12.5">
      <c r="B131" s="145" t="str">
        <f t="shared" si="23"/>
        <v/>
      </c>
      <c r="C131" s="496">
        <f>IF(D94="","-",+C130+1)</f>
        <v>2046</v>
      </c>
      <c r="D131" s="350">
        <f>IF(F130+SUM(E$100:E130)=D$93,F130,D$93-SUM(E$100:E130))</f>
        <v>0</v>
      </c>
      <c r="E131" s="510">
        <f>IF(+J97&lt;F130,J97,D131)</f>
        <v>0</v>
      </c>
      <c r="F131" s="511">
        <f t="shared" si="38"/>
        <v>0</v>
      </c>
      <c r="G131" s="511">
        <f t="shared" si="39"/>
        <v>0</v>
      </c>
      <c r="H131" s="645">
        <f t="shared" si="40"/>
        <v>0</v>
      </c>
      <c r="I131" s="573">
        <f t="shared" si="41"/>
        <v>0</v>
      </c>
      <c r="J131" s="505">
        <f t="shared" si="29"/>
        <v>0</v>
      </c>
      <c r="K131" s="505"/>
      <c r="L131" s="513"/>
      <c r="M131" s="505">
        <f t="shared" si="42"/>
        <v>0</v>
      </c>
      <c r="N131" s="513"/>
      <c r="O131" s="505">
        <f t="shared" si="27"/>
        <v>0</v>
      </c>
      <c r="P131" s="505">
        <f t="shared" si="28"/>
        <v>0</v>
      </c>
      <c r="Q131" s="244"/>
      <c r="R131" s="244"/>
      <c r="S131" s="244"/>
      <c r="T131" s="244"/>
      <c r="U131" s="244"/>
    </row>
    <row r="132" spans="2:21" ht="12.5">
      <c r="B132" s="145" t="str">
        <f t="shared" si="23"/>
        <v/>
      </c>
      <c r="C132" s="496">
        <f>IF(D94="","-",+C131+1)</f>
        <v>2047</v>
      </c>
      <c r="D132" s="350">
        <f>IF(F131+SUM(E$100:E131)=D$93,F131,D$93-SUM(E$100:E131))</f>
        <v>0</v>
      </c>
      <c r="E132" s="510">
        <f>IF(+J97&lt;F131,J97,D132)</f>
        <v>0</v>
      </c>
      <c r="F132" s="511">
        <f t="shared" si="38"/>
        <v>0</v>
      </c>
      <c r="G132" s="511">
        <f t="shared" si="39"/>
        <v>0</v>
      </c>
      <c r="H132" s="645">
        <f t="shared" si="40"/>
        <v>0</v>
      </c>
      <c r="I132" s="573">
        <f t="shared" si="41"/>
        <v>0</v>
      </c>
      <c r="J132" s="505">
        <f t="shared" ref="J132:J155" si="43">+I542-H542</f>
        <v>0</v>
      </c>
      <c r="K132" s="505"/>
      <c r="L132" s="513"/>
      <c r="M132" s="505">
        <f t="shared" ref="M132:M155" si="44">IF(L542&lt;&gt;0,+H542-L542,0)</f>
        <v>0</v>
      </c>
      <c r="N132" s="513"/>
      <c r="O132" s="505">
        <f t="shared" ref="O132:O155" si="45">IF(N542&lt;&gt;0,+I542-N542,0)</f>
        <v>0</v>
      </c>
      <c r="P132" s="505">
        <f t="shared" ref="P132:P155" si="46">+O542-M542</f>
        <v>0</v>
      </c>
      <c r="Q132" s="244"/>
      <c r="R132" s="244"/>
      <c r="S132" s="244"/>
      <c r="T132" s="244"/>
      <c r="U132" s="244"/>
    </row>
    <row r="133" spans="2:21" ht="12.5">
      <c r="B133" s="145" t="str">
        <f t="shared" si="23"/>
        <v/>
      </c>
      <c r="C133" s="496">
        <f>IF(D94="","-",+C132+1)</f>
        <v>2048</v>
      </c>
      <c r="D133" s="350">
        <f>IF(F132+SUM(E$100:E132)=D$93,F132,D$93-SUM(E$100:E132))</f>
        <v>0</v>
      </c>
      <c r="E133" s="510">
        <f>IF(+J97&lt;F132,J97,D133)</f>
        <v>0</v>
      </c>
      <c r="F133" s="511">
        <f t="shared" si="38"/>
        <v>0</v>
      </c>
      <c r="G133" s="511">
        <f t="shared" si="39"/>
        <v>0</v>
      </c>
      <c r="H133" s="645">
        <f t="shared" si="40"/>
        <v>0</v>
      </c>
      <c r="I133" s="573">
        <f t="shared" si="41"/>
        <v>0</v>
      </c>
      <c r="J133" s="505">
        <f t="shared" si="43"/>
        <v>0</v>
      </c>
      <c r="K133" s="505"/>
      <c r="L133" s="513"/>
      <c r="M133" s="505">
        <f t="shared" si="44"/>
        <v>0</v>
      </c>
      <c r="N133" s="513"/>
      <c r="O133" s="505">
        <f t="shared" si="45"/>
        <v>0</v>
      </c>
      <c r="P133" s="505">
        <f t="shared" si="46"/>
        <v>0</v>
      </c>
      <c r="Q133" s="244"/>
      <c r="R133" s="244"/>
      <c r="S133" s="244"/>
      <c r="T133" s="244"/>
      <c r="U133" s="244"/>
    </row>
    <row r="134" spans="2:21" ht="12.5">
      <c r="B134" s="145" t="str">
        <f t="shared" si="23"/>
        <v/>
      </c>
      <c r="C134" s="496">
        <f>IF(D94="","-",+C133+1)</f>
        <v>2049</v>
      </c>
      <c r="D134" s="350">
        <f>IF(F133+SUM(E$100:E133)=D$93,F133,D$93-SUM(E$100:E133))</f>
        <v>0</v>
      </c>
      <c r="E134" s="510">
        <f>IF(+J97&lt;F133,J97,D134)</f>
        <v>0</v>
      </c>
      <c r="F134" s="511">
        <f t="shared" si="38"/>
        <v>0</v>
      </c>
      <c r="G134" s="511">
        <f t="shared" si="39"/>
        <v>0</v>
      </c>
      <c r="H134" s="645">
        <f t="shared" si="40"/>
        <v>0</v>
      </c>
      <c r="I134" s="573">
        <f t="shared" si="41"/>
        <v>0</v>
      </c>
      <c r="J134" s="505">
        <f t="shared" si="43"/>
        <v>0</v>
      </c>
      <c r="K134" s="505"/>
      <c r="L134" s="513"/>
      <c r="M134" s="505">
        <f t="shared" si="44"/>
        <v>0</v>
      </c>
      <c r="N134" s="513"/>
      <c r="O134" s="505">
        <f t="shared" si="45"/>
        <v>0</v>
      </c>
      <c r="P134" s="505">
        <f t="shared" si="46"/>
        <v>0</v>
      </c>
      <c r="Q134" s="244"/>
      <c r="R134" s="244"/>
      <c r="S134" s="244"/>
      <c r="T134" s="244"/>
      <c r="U134" s="244"/>
    </row>
    <row r="135" spans="2:21" ht="12.5">
      <c r="B135" s="145" t="str">
        <f t="shared" si="23"/>
        <v/>
      </c>
      <c r="C135" s="496">
        <f>IF(D94="","-",+C134+1)</f>
        <v>2050</v>
      </c>
      <c r="D135" s="350">
        <f>IF(F134+SUM(E$100:E134)=D$93,F134,D$93-SUM(E$100:E134))</f>
        <v>0</v>
      </c>
      <c r="E135" s="510">
        <f>IF(+J97&lt;F134,J97,D135)</f>
        <v>0</v>
      </c>
      <c r="F135" s="511">
        <f t="shared" si="38"/>
        <v>0</v>
      </c>
      <c r="G135" s="511">
        <f t="shared" si="39"/>
        <v>0</v>
      </c>
      <c r="H135" s="645">
        <f t="shared" si="40"/>
        <v>0</v>
      </c>
      <c r="I135" s="573">
        <f t="shared" si="41"/>
        <v>0</v>
      </c>
      <c r="J135" s="505">
        <f t="shared" si="43"/>
        <v>0</v>
      </c>
      <c r="K135" s="505"/>
      <c r="L135" s="513"/>
      <c r="M135" s="505">
        <f t="shared" si="44"/>
        <v>0</v>
      </c>
      <c r="N135" s="513"/>
      <c r="O135" s="505">
        <f t="shared" si="45"/>
        <v>0</v>
      </c>
      <c r="P135" s="505">
        <f t="shared" si="46"/>
        <v>0</v>
      </c>
      <c r="Q135" s="244"/>
      <c r="R135" s="244"/>
      <c r="S135" s="244"/>
      <c r="T135" s="244"/>
      <c r="U135" s="244"/>
    </row>
    <row r="136" spans="2:21" ht="12.5">
      <c r="B136" s="145" t="str">
        <f t="shared" si="23"/>
        <v/>
      </c>
      <c r="C136" s="496">
        <f>IF(D94="","-",+C135+1)</f>
        <v>2051</v>
      </c>
      <c r="D136" s="350">
        <f>IF(F135+SUM(E$100:E135)=D$93,F135,D$93-SUM(E$100:E135))</f>
        <v>0</v>
      </c>
      <c r="E136" s="510">
        <f>IF(+J97&lt;F135,J97,D136)</f>
        <v>0</v>
      </c>
      <c r="F136" s="511">
        <f t="shared" si="38"/>
        <v>0</v>
      </c>
      <c r="G136" s="511">
        <f t="shared" si="39"/>
        <v>0</v>
      </c>
      <c r="H136" s="645">
        <f t="shared" si="40"/>
        <v>0</v>
      </c>
      <c r="I136" s="573">
        <f t="shared" si="41"/>
        <v>0</v>
      </c>
      <c r="J136" s="505">
        <f t="shared" si="43"/>
        <v>0</v>
      </c>
      <c r="K136" s="505"/>
      <c r="L136" s="513"/>
      <c r="M136" s="505">
        <f t="shared" si="44"/>
        <v>0</v>
      </c>
      <c r="N136" s="513"/>
      <c r="O136" s="505">
        <f t="shared" si="45"/>
        <v>0</v>
      </c>
      <c r="P136" s="505">
        <f t="shared" si="46"/>
        <v>0</v>
      </c>
      <c r="Q136" s="244"/>
      <c r="R136" s="244"/>
      <c r="S136" s="244"/>
      <c r="T136" s="244"/>
      <c r="U136" s="244"/>
    </row>
    <row r="137" spans="2:21" ht="12.5">
      <c r="B137" s="145" t="str">
        <f t="shared" si="23"/>
        <v/>
      </c>
      <c r="C137" s="496">
        <f>IF(D94="","-",+C136+1)</f>
        <v>2052</v>
      </c>
      <c r="D137" s="350">
        <f>IF(F136+SUM(E$100:E136)=D$93,F136,D$93-SUM(E$100:E136))</f>
        <v>0</v>
      </c>
      <c r="E137" s="510">
        <f>IF(+J97&lt;F136,J97,D137)</f>
        <v>0</v>
      </c>
      <c r="F137" s="511">
        <f t="shared" si="38"/>
        <v>0</v>
      </c>
      <c r="G137" s="511">
        <f t="shared" si="39"/>
        <v>0</v>
      </c>
      <c r="H137" s="645">
        <f t="shared" si="40"/>
        <v>0</v>
      </c>
      <c r="I137" s="573">
        <f t="shared" si="41"/>
        <v>0</v>
      </c>
      <c r="J137" s="505">
        <f t="shared" si="43"/>
        <v>0</v>
      </c>
      <c r="K137" s="505"/>
      <c r="L137" s="513"/>
      <c r="M137" s="505">
        <f t="shared" si="44"/>
        <v>0</v>
      </c>
      <c r="N137" s="513"/>
      <c r="O137" s="505">
        <f t="shared" si="45"/>
        <v>0</v>
      </c>
      <c r="P137" s="505">
        <f t="shared" si="46"/>
        <v>0</v>
      </c>
      <c r="Q137" s="244"/>
      <c r="R137" s="244"/>
      <c r="S137" s="244"/>
      <c r="T137" s="244"/>
      <c r="U137" s="244"/>
    </row>
    <row r="138" spans="2:21" ht="12.5">
      <c r="B138" s="145" t="str">
        <f t="shared" si="23"/>
        <v/>
      </c>
      <c r="C138" s="496">
        <f>IF(D94="","-",+C137+1)</f>
        <v>2053</v>
      </c>
      <c r="D138" s="350">
        <f>IF(F137+SUM(E$100:E137)=D$93,F137,D$93-SUM(E$100:E137))</f>
        <v>0</v>
      </c>
      <c r="E138" s="510">
        <f>IF(+J97&lt;F137,J97,D138)</f>
        <v>0</v>
      </c>
      <c r="F138" s="511">
        <f t="shared" si="38"/>
        <v>0</v>
      </c>
      <c r="G138" s="511">
        <f t="shared" si="39"/>
        <v>0</v>
      </c>
      <c r="H138" s="645">
        <f t="shared" si="40"/>
        <v>0</v>
      </c>
      <c r="I138" s="573">
        <f t="shared" si="41"/>
        <v>0</v>
      </c>
      <c r="J138" s="505">
        <f t="shared" si="43"/>
        <v>0</v>
      </c>
      <c r="K138" s="505"/>
      <c r="L138" s="513"/>
      <c r="M138" s="505">
        <f t="shared" si="44"/>
        <v>0</v>
      </c>
      <c r="N138" s="513"/>
      <c r="O138" s="505">
        <f t="shared" si="45"/>
        <v>0</v>
      </c>
      <c r="P138" s="505">
        <f t="shared" si="46"/>
        <v>0</v>
      </c>
      <c r="Q138" s="244"/>
      <c r="R138" s="244"/>
      <c r="S138" s="244"/>
      <c r="T138" s="244"/>
      <c r="U138" s="244"/>
    </row>
    <row r="139" spans="2:21" ht="12.5">
      <c r="B139" s="145" t="str">
        <f t="shared" si="23"/>
        <v/>
      </c>
      <c r="C139" s="496">
        <f>IF(D94="","-",+C138+1)</f>
        <v>2054</v>
      </c>
      <c r="D139" s="350">
        <f>IF(F138+SUM(E$100:E138)=D$93,F138,D$93-SUM(E$100:E138))</f>
        <v>0</v>
      </c>
      <c r="E139" s="510">
        <f>IF(+J97&lt;F138,J97,D139)</f>
        <v>0</v>
      </c>
      <c r="F139" s="511">
        <f t="shared" si="38"/>
        <v>0</v>
      </c>
      <c r="G139" s="511">
        <f t="shared" si="39"/>
        <v>0</v>
      </c>
      <c r="H139" s="645">
        <f t="shared" si="40"/>
        <v>0</v>
      </c>
      <c r="I139" s="573">
        <f t="shared" si="41"/>
        <v>0</v>
      </c>
      <c r="J139" s="505">
        <f t="shared" si="43"/>
        <v>0</v>
      </c>
      <c r="K139" s="505"/>
      <c r="L139" s="513"/>
      <c r="M139" s="505">
        <f t="shared" si="44"/>
        <v>0</v>
      </c>
      <c r="N139" s="513"/>
      <c r="O139" s="505">
        <f t="shared" si="45"/>
        <v>0</v>
      </c>
      <c r="P139" s="505">
        <f t="shared" si="46"/>
        <v>0</v>
      </c>
      <c r="Q139" s="244"/>
      <c r="R139" s="244"/>
      <c r="S139" s="244"/>
      <c r="T139" s="244"/>
      <c r="U139" s="244"/>
    </row>
    <row r="140" spans="2:21" ht="12.5">
      <c r="B140" s="145" t="str">
        <f t="shared" si="23"/>
        <v/>
      </c>
      <c r="C140" s="496">
        <f>IF(D94="","-",+C139+1)</f>
        <v>2055</v>
      </c>
      <c r="D140" s="350">
        <f>IF(F139+SUM(E$100:E139)=D$93,F139,D$93-SUM(E$100:E139))</f>
        <v>0</v>
      </c>
      <c r="E140" s="510">
        <f>IF(+J97&lt;F139,J97,D140)</f>
        <v>0</v>
      </c>
      <c r="F140" s="511">
        <f t="shared" si="38"/>
        <v>0</v>
      </c>
      <c r="G140" s="511">
        <f t="shared" si="39"/>
        <v>0</v>
      </c>
      <c r="H140" s="645">
        <f t="shared" si="40"/>
        <v>0</v>
      </c>
      <c r="I140" s="573">
        <f t="shared" si="41"/>
        <v>0</v>
      </c>
      <c r="J140" s="505">
        <f t="shared" si="43"/>
        <v>0</v>
      </c>
      <c r="K140" s="505"/>
      <c r="L140" s="513"/>
      <c r="M140" s="505">
        <f t="shared" si="44"/>
        <v>0</v>
      </c>
      <c r="N140" s="513"/>
      <c r="O140" s="505">
        <f t="shared" si="45"/>
        <v>0</v>
      </c>
      <c r="P140" s="505">
        <f t="shared" si="46"/>
        <v>0</v>
      </c>
      <c r="Q140" s="244"/>
      <c r="R140" s="244"/>
      <c r="S140" s="244"/>
      <c r="T140" s="244"/>
      <c r="U140" s="244"/>
    </row>
    <row r="141" spans="2:21" ht="12.5">
      <c r="B141" s="145" t="str">
        <f t="shared" si="23"/>
        <v/>
      </c>
      <c r="C141" s="496">
        <f>IF(D94="","-",+C140+1)</f>
        <v>2056</v>
      </c>
      <c r="D141" s="350">
        <f>IF(F140+SUM(E$100:E140)=D$93,F140,D$93-SUM(E$100:E140))</f>
        <v>0</v>
      </c>
      <c r="E141" s="510">
        <f>IF(+J97&lt;F140,J97,D141)</f>
        <v>0</v>
      </c>
      <c r="F141" s="511">
        <f t="shared" si="38"/>
        <v>0</v>
      </c>
      <c r="G141" s="511">
        <f t="shared" si="39"/>
        <v>0</v>
      </c>
      <c r="H141" s="645">
        <f t="shared" si="40"/>
        <v>0</v>
      </c>
      <c r="I141" s="573">
        <f t="shared" si="41"/>
        <v>0</v>
      </c>
      <c r="J141" s="505">
        <f t="shared" si="43"/>
        <v>0</v>
      </c>
      <c r="K141" s="505"/>
      <c r="L141" s="513"/>
      <c r="M141" s="505">
        <f t="shared" si="44"/>
        <v>0</v>
      </c>
      <c r="N141" s="513"/>
      <c r="O141" s="505">
        <f t="shared" si="45"/>
        <v>0</v>
      </c>
      <c r="P141" s="505">
        <f t="shared" si="46"/>
        <v>0</v>
      </c>
      <c r="Q141" s="244"/>
      <c r="R141" s="244"/>
      <c r="S141" s="244"/>
      <c r="T141" s="244"/>
      <c r="U141" s="244"/>
    </row>
    <row r="142" spans="2:21" ht="12.5">
      <c r="B142" s="145" t="str">
        <f t="shared" si="23"/>
        <v/>
      </c>
      <c r="C142" s="496">
        <f>IF(D94="","-",+C141+1)</f>
        <v>2057</v>
      </c>
      <c r="D142" s="350">
        <f>IF(F141+SUM(E$100:E141)=D$93,F141,D$93-SUM(E$100:E141))</f>
        <v>0</v>
      </c>
      <c r="E142" s="510">
        <f>IF(+J97&lt;F141,J97,D142)</f>
        <v>0</v>
      </c>
      <c r="F142" s="511">
        <f t="shared" si="38"/>
        <v>0</v>
      </c>
      <c r="G142" s="511">
        <f t="shared" si="39"/>
        <v>0</v>
      </c>
      <c r="H142" s="645">
        <f t="shared" si="40"/>
        <v>0</v>
      </c>
      <c r="I142" s="573">
        <f t="shared" si="41"/>
        <v>0</v>
      </c>
      <c r="J142" s="505">
        <f t="shared" si="43"/>
        <v>0</v>
      </c>
      <c r="K142" s="505"/>
      <c r="L142" s="513"/>
      <c r="M142" s="505">
        <f t="shared" si="44"/>
        <v>0</v>
      </c>
      <c r="N142" s="513"/>
      <c r="O142" s="505">
        <f t="shared" si="45"/>
        <v>0</v>
      </c>
      <c r="P142" s="505">
        <f t="shared" si="46"/>
        <v>0</v>
      </c>
      <c r="Q142" s="244"/>
      <c r="R142" s="244"/>
      <c r="S142" s="244"/>
      <c r="T142" s="244"/>
      <c r="U142" s="244"/>
    </row>
    <row r="143" spans="2:21" ht="12.5">
      <c r="B143" s="145" t="str">
        <f t="shared" si="23"/>
        <v/>
      </c>
      <c r="C143" s="496">
        <f>IF(D94="","-",+C142+1)</f>
        <v>2058</v>
      </c>
      <c r="D143" s="350">
        <f>IF(F142+SUM(E$100:E142)=D$93,F142,D$93-SUM(E$100:E142))</f>
        <v>0</v>
      </c>
      <c r="E143" s="510">
        <f>IF(+J97&lt;F142,J97,D143)</f>
        <v>0</v>
      </c>
      <c r="F143" s="511">
        <f t="shared" si="38"/>
        <v>0</v>
      </c>
      <c r="G143" s="511">
        <f t="shared" si="39"/>
        <v>0</v>
      </c>
      <c r="H143" s="645">
        <f t="shared" si="40"/>
        <v>0</v>
      </c>
      <c r="I143" s="573">
        <f t="shared" si="41"/>
        <v>0</v>
      </c>
      <c r="J143" s="505">
        <f t="shared" si="43"/>
        <v>0</v>
      </c>
      <c r="K143" s="505"/>
      <c r="L143" s="513"/>
      <c r="M143" s="505">
        <f t="shared" si="44"/>
        <v>0</v>
      </c>
      <c r="N143" s="513"/>
      <c r="O143" s="505">
        <f t="shared" si="45"/>
        <v>0</v>
      </c>
      <c r="P143" s="505">
        <f t="shared" si="46"/>
        <v>0</v>
      </c>
      <c r="Q143" s="244"/>
      <c r="R143" s="244"/>
      <c r="S143" s="244"/>
      <c r="T143" s="244"/>
      <c r="U143" s="244"/>
    </row>
    <row r="144" spans="2:21" ht="12.5">
      <c r="B144" s="145" t="str">
        <f t="shared" si="23"/>
        <v/>
      </c>
      <c r="C144" s="496">
        <f>IF(D94="","-",+C143+1)</f>
        <v>2059</v>
      </c>
      <c r="D144" s="350">
        <f>IF(F143+SUM(E$100:E143)=D$93,F143,D$93-SUM(E$100:E143))</f>
        <v>0</v>
      </c>
      <c r="E144" s="510">
        <f>IF(+J97&lt;F143,J97,D144)</f>
        <v>0</v>
      </c>
      <c r="F144" s="511">
        <f t="shared" si="38"/>
        <v>0</v>
      </c>
      <c r="G144" s="511">
        <f t="shared" si="39"/>
        <v>0</v>
      </c>
      <c r="H144" s="645">
        <f t="shared" si="40"/>
        <v>0</v>
      </c>
      <c r="I144" s="573">
        <f t="shared" si="41"/>
        <v>0</v>
      </c>
      <c r="J144" s="505">
        <f t="shared" si="43"/>
        <v>0</v>
      </c>
      <c r="K144" s="505"/>
      <c r="L144" s="513"/>
      <c r="M144" s="505">
        <f t="shared" si="44"/>
        <v>0</v>
      </c>
      <c r="N144" s="513"/>
      <c r="O144" s="505">
        <f t="shared" si="45"/>
        <v>0</v>
      </c>
      <c r="P144" s="505">
        <f t="shared" si="46"/>
        <v>0</v>
      </c>
      <c r="Q144" s="244"/>
      <c r="R144" s="244"/>
      <c r="S144" s="244"/>
      <c r="T144" s="244"/>
      <c r="U144" s="244"/>
    </row>
    <row r="145" spans="2:21" ht="12.5">
      <c r="B145" s="145" t="str">
        <f t="shared" si="23"/>
        <v/>
      </c>
      <c r="C145" s="496">
        <f>IF(D94="","-",+C144+1)</f>
        <v>2060</v>
      </c>
      <c r="D145" s="350">
        <f>IF(F144+SUM(E$100:E144)=D$93,F144,D$93-SUM(E$100:E144))</f>
        <v>0</v>
      </c>
      <c r="E145" s="510">
        <f>IF(+J97&lt;F144,J97,D145)</f>
        <v>0</v>
      </c>
      <c r="F145" s="511">
        <f t="shared" si="38"/>
        <v>0</v>
      </c>
      <c r="G145" s="511">
        <f t="shared" si="39"/>
        <v>0</v>
      </c>
      <c r="H145" s="645">
        <f t="shared" si="40"/>
        <v>0</v>
      </c>
      <c r="I145" s="573">
        <f t="shared" si="41"/>
        <v>0</v>
      </c>
      <c r="J145" s="505">
        <f t="shared" si="43"/>
        <v>0</v>
      </c>
      <c r="K145" s="505"/>
      <c r="L145" s="513"/>
      <c r="M145" s="505">
        <f t="shared" si="44"/>
        <v>0</v>
      </c>
      <c r="N145" s="513"/>
      <c r="O145" s="505">
        <f t="shared" si="45"/>
        <v>0</v>
      </c>
      <c r="P145" s="505">
        <f t="shared" si="46"/>
        <v>0</v>
      </c>
      <c r="Q145" s="244"/>
      <c r="R145" s="244"/>
      <c r="S145" s="244"/>
      <c r="T145" s="244"/>
      <c r="U145" s="244"/>
    </row>
    <row r="146" spans="2:21" ht="12.5">
      <c r="B146" s="145" t="str">
        <f t="shared" si="23"/>
        <v/>
      </c>
      <c r="C146" s="496">
        <f>IF(D94="","-",+C145+1)</f>
        <v>2061</v>
      </c>
      <c r="D146" s="350">
        <f>IF(F145+SUM(E$100:E145)=D$93,F145,D$93-SUM(E$100:E145))</f>
        <v>0</v>
      </c>
      <c r="E146" s="510">
        <f>IF(+J97&lt;F145,J97,D146)</f>
        <v>0</v>
      </c>
      <c r="F146" s="511">
        <f t="shared" si="38"/>
        <v>0</v>
      </c>
      <c r="G146" s="511">
        <f t="shared" si="39"/>
        <v>0</v>
      </c>
      <c r="H146" s="645">
        <f t="shared" si="40"/>
        <v>0</v>
      </c>
      <c r="I146" s="573">
        <f t="shared" si="41"/>
        <v>0</v>
      </c>
      <c r="J146" s="505">
        <f t="shared" si="43"/>
        <v>0</v>
      </c>
      <c r="K146" s="505"/>
      <c r="L146" s="513"/>
      <c r="M146" s="505">
        <f t="shared" si="44"/>
        <v>0</v>
      </c>
      <c r="N146" s="513"/>
      <c r="O146" s="505">
        <f t="shared" si="45"/>
        <v>0</v>
      </c>
      <c r="P146" s="505">
        <f t="shared" si="46"/>
        <v>0</v>
      </c>
      <c r="Q146" s="244"/>
      <c r="R146" s="244"/>
      <c r="S146" s="244"/>
      <c r="T146" s="244"/>
      <c r="U146" s="244"/>
    </row>
    <row r="147" spans="2:21" ht="12.5">
      <c r="B147" s="145" t="str">
        <f t="shared" si="23"/>
        <v/>
      </c>
      <c r="C147" s="496">
        <f>IF(D94="","-",+C146+1)</f>
        <v>2062</v>
      </c>
      <c r="D147" s="350">
        <f>IF(F146+SUM(E$100:E146)=D$93,F146,D$93-SUM(E$100:E146))</f>
        <v>0</v>
      </c>
      <c r="E147" s="510">
        <f>IF(+J97&lt;F146,J97,D147)</f>
        <v>0</v>
      </c>
      <c r="F147" s="511">
        <f t="shared" si="38"/>
        <v>0</v>
      </c>
      <c r="G147" s="511">
        <f t="shared" si="39"/>
        <v>0</v>
      </c>
      <c r="H147" s="645">
        <f t="shared" si="40"/>
        <v>0</v>
      </c>
      <c r="I147" s="573">
        <f t="shared" si="41"/>
        <v>0</v>
      </c>
      <c r="J147" s="505">
        <f t="shared" si="43"/>
        <v>0</v>
      </c>
      <c r="K147" s="505"/>
      <c r="L147" s="513"/>
      <c r="M147" s="505">
        <f t="shared" si="44"/>
        <v>0</v>
      </c>
      <c r="N147" s="513"/>
      <c r="O147" s="505">
        <f t="shared" si="45"/>
        <v>0</v>
      </c>
      <c r="P147" s="505">
        <f t="shared" si="46"/>
        <v>0</v>
      </c>
      <c r="Q147" s="244"/>
      <c r="R147" s="244"/>
      <c r="S147" s="244"/>
      <c r="T147" s="244"/>
      <c r="U147" s="244"/>
    </row>
    <row r="148" spans="2:21" ht="12.5">
      <c r="B148" s="145" t="str">
        <f t="shared" si="23"/>
        <v/>
      </c>
      <c r="C148" s="496">
        <f>IF(D94="","-",+C147+1)</f>
        <v>2063</v>
      </c>
      <c r="D148" s="350">
        <f>IF(F147+SUM(E$100:E147)=D$93,F147,D$93-SUM(E$100:E147))</f>
        <v>0</v>
      </c>
      <c r="E148" s="510">
        <f>IF(+J97&lt;F147,J97,D148)</f>
        <v>0</v>
      </c>
      <c r="F148" s="511">
        <f t="shared" si="38"/>
        <v>0</v>
      </c>
      <c r="G148" s="511">
        <f t="shared" si="39"/>
        <v>0</v>
      </c>
      <c r="H148" s="645">
        <f t="shared" si="40"/>
        <v>0</v>
      </c>
      <c r="I148" s="573">
        <f t="shared" si="41"/>
        <v>0</v>
      </c>
      <c r="J148" s="505">
        <f t="shared" si="43"/>
        <v>0</v>
      </c>
      <c r="K148" s="505"/>
      <c r="L148" s="513"/>
      <c r="M148" s="505">
        <f t="shared" si="44"/>
        <v>0</v>
      </c>
      <c r="N148" s="513"/>
      <c r="O148" s="505">
        <f t="shared" si="45"/>
        <v>0</v>
      </c>
      <c r="P148" s="505">
        <f t="shared" si="46"/>
        <v>0</v>
      </c>
      <c r="Q148" s="244"/>
      <c r="R148" s="244"/>
      <c r="S148" s="244"/>
      <c r="T148" s="244"/>
      <c r="U148" s="244"/>
    </row>
    <row r="149" spans="2:21" ht="12.5">
      <c r="B149" s="145" t="str">
        <f t="shared" si="23"/>
        <v/>
      </c>
      <c r="C149" s="496">
        <f>IF(D94="","-",+C148+1)</f>
        <v>2064</v>
      </c>
      <c r="D149" s="350">
        <f>IF(F148+SUM(E$100:E148)=D$93,F148,D$93-SUM(E$100:E148))</f>
        <v>0</v>
      </c>
      <c r="E149" s="510">
        <f>IF(+J97&lt;F148,J97,D149)</f>
        <v>0</v>
      </c>
      <c r="F149" s="511">
        <f t="shared" si="38"/>
        <v>0</v>
      </c>
      <c r="G149" s="511">
        <f t="shared" si="39"/>
        <v>0</v>
      </c>
      <c r="H149" s="645">
        <f t="shared" si="40"/>
        <v>0</v>
      </c>
      <c r="I149" s="573">
        <f t="shared" si="41"/>
        <v>0</v>
      </c>
      <c r="J149" s="505">
        <f t="shared" si="43"/>
        <v>0</v>
      </c>
      <c r="K149" s="505"/>
      <c r="L149" s="513"/>
      <c r="M149" s="505">
        <f t="shared" si="44"/>
        <v>0</v>
      </c>
      <c r="N149" s="513"/>
      <c r="O149" s="505">
        <f t="shared" si="45"/>
        <v>0</v>
      </c>
      <c r="P149" s="505">
        <f t="shared" si="46"/>
        <v>0</v>
      </c>
      <c r="Q149" s="244"/>
      <c r="R149" s="244"/>
      <c r="S149" s="244"/>
      <c r="T149" s="244"/>
      <c r="U149" s="244"/>
    </row>
    <row r="150" spans="2:21" ht="12.5">
      <c r="B150" s="145" t="str">
        <f t="shared" si="23"/>
        <v/>
      </c>
      <c r="C150" s="496">
        <f>IF(D94="","-",+C149+1)</f>
        <v>2065</v>
      </c>
      <c r="D150" s="350">
        <f>IF(F149+SUM(E$100:E149)=D$93,F149,D$93-SUM(E$100:E149))</f>
        <v>0</v>
      </c>
      <c r="E150" s="510">
        <f>IF(+J97&lt;F149,J97,D150)</f>
        <v>0</v>
      </c>
      <c r="F150" s="511">
        <f t="shared" si="38"/>
        <v>0</v>
      </c>
      <c r="G150" s="511">
        <f t="shared" si="39"/>
        <v>0</v>
      </c>
      <c r="H150" s="645">
        <f t="shared" si="40"/>
        <v>0</v>
      </c>
      <c r="I150" s="573">
        <f t="shared" si="41"/>
        <v>0</v>
      </c>
      <c r="J150" s="505">
        <f t="shared" si="43"/>
        <v>0</v>
      </c>
      <c r="K150" s="505"/>
      <c r="L150" s="513"/>
      <c r="M150" s="505">
        <f t="shared" si="44"/>
        <v>0</v>
      </c>
      <c r="N150" s="513"/>
      <c r="O150" s="505">
        <f t="shared" si="45"/>
        <v>0</v>
      </c>
      <c r="P150" s="505">
        <f t="shared" si="46"/>
        <v>0</v>
      </c>
      <c r="Q150" s="244"/>
      <c r="R150" s="244"/>
      <c r="S150" s="244"/>
      <c r="T150" s="244"/>
      <c r="U150" s="244"/>
    </row>
    <row r="151" spans="2:21" ht="12.5">
      <c r="B151" s="145" t="str">
        <f t="shared" si="23"/>
        <v/>
      </c>
      <c r="C151" s="496">
        <f>IF(D94="","-",+C150+1)</f>
        <v>2066</v>
      </c>
      <c r="D151" s="350">
        <f>IF(F150+SUM(E$100:E150)=D$93,F150,D$93-SUM(E$100:E150))</f>
        <v>0</v>
      </c>
      <c r="E151" s="510">
        <f>IF(+J97&lt;F150,J97,D151)</f>
        <v>0</v>
      </c>
      <c r="F151" s="511">
        <f t="shared" si="38"/>
        <v>0</v>
      </c>
      <c r="G151" s="511">
        <f t="shared" si="39"/>
        <v>0</v>
      </c>
      <c r="H151" s="645">
        <f t="shared" si="40"/>
        <v>0</v>
      </c>
      <c r="I151" s="573">
        <f t="shared" si="41"/>
        <v>0</v>
      </c>
      <c r="J151" s="505">
        <f t="shared" si="43"/>
        <v>0</v>
      </c>
      <c r="K151" s="505"/>
      <c r="L151" s="513"/>
      <c r="M151" s="505">
        <f t="shared" si="44"/>
        <v>0</v>
      </c>
      <c r="N151" s="513"/>
      <c r="O151" s="505">
        <f t="shared" si="45"/>
        <v>0</v>
      </c>
      <c r="P151" s="505">
        <f t="shared" si="46"/>
        <v>0</v>
      </c>
      <c r="Q151" s="244"/>
      <c r="R151" s="244"/>
      <c r="S151" s="244"/>
      <c r="T151" s="244"/>
      <c r="U151" s="244"/>
    </row>
    <row r="152" spans="2:21" ht="12.5">
      <c r="B152" s="145" t="str">
        <f t="shared" si="23"/>
        <v/>
      </c>
      <c r="C152" s="496">
        <f>IF(D94="","-",+C151+1)</f>
        <v>2067</v>
      </c>
      <c r="D152" s="350">
        <f>IF(F151+SUM(E$100:E151)=D$93,F151,D$93-SUM(E$100:E151))</f>
        <v>0</v>
      </c>
      <c r="E152" s="510">
        <f>IF(+J97&lt;F151,J97,D152)</f>
        <v>0</v>
      </c>
      <c r="F152" s="511">
        <f t="shared" si="38"/>
        <v>0</v>
      </c>
      <c r="G152" s="511">
        <f t="shared" si="39"/>
        <v>0</v>
      </c>
      <c r="H152" s="645">
        <f t="shared" si="40"/>
        <v>0</v>
      </c>
      <c r="I152" s="573">
        <f t="shared" si="41"/>
        <v>0</v>
      </c>
      <c r="J152" s="505">
        <f t="shared" si="43"/>
        <v>0</v>
      </c>
      <c r="K152" s="505"/>
      <c r="L152" s="513"/>
      <c r="M152" s="505">
        <f t="shared" si="44"/>
        <v>0</v>
      </c>
      <c r="N152" s="513"/>
      <c r="O152" s="505">
        <f t="shared" si="45"/>
        <v>0</v>
      </c>
      <c r="P152" s="505">
        <f t="shared" si="46"/>
        <v>0</v>
      </c>
      <c r="Q152" s="244"/>
      <c r="R152" s="244"/>
      <c r="S152" s="244"/>
      <c r="T152" s="244"/>
      <c r="U152" s="244"/>
    </row>
    <row r="153" spans="2:21" ht="12.5">
      <c r="B153" s="145" t="str">
        <f t="shared" si="23"/>
        <v/>
      </c>
      <c r="C153" s="496">
        <f>IF(D94="","-",+C152+1)</f>
        <v>2068</v>
      </c>
      <c r="D153" s="350">
        <f>IF(F152+SUM(E$100:E152)=D$93,F152,D$93-SUM(E$100:E152))</f>
        <v>0</v>
      </c>
      <c r="E153" s="510">
        <f>IF(+J97&lt;F152,J97,D153)</f>
        <v>0</v>
      </c>
      <c r="F153" s="511">
        <f t="shared" si="38"/>
        <v>0</v>
      </c>
      <c r="G153" s="511">
        <f t="shared" si="39"/>
        <v>0</v>
      </c>
      <c r="H153" s="645">
        <f t="shared" si="40"/>
        <v>0</v>
      </c>
      <c r="I153" s="573">
        <f t="shared" si="41"/>
        <v>0</v>
      </c>
      <c r="J153" s="505">
        <f t="shared" si="43"/>
        <v>0</v>
      </c>
      <c r="K153" s="505"/>
      <c r="L153" s="513"/>
      <c r="M153" s="505">
        <f t="shared" si="44"/>
        <v>0</v>
      </c>
      <c r="N153" s="513"/>
      <c r="O153" s="505">
        <f t="shared" si="45"/>
        <v>0</v>
      </c>
      <c r="P153" s="505">
        <f t="shared" si="46"/>
        <v>0</v>
      </c>
      <c r="Q153" s="244"/>
      <c r="R153" s="244"/>
      <c r="S153" s="244"/>
      <c r="T153" s="244"/>
      <c r="U153" s="244"/>
    </row>
    <row r="154" spans="2:21" ht="12.5">
      <c r="B154" s="145" t="str">
        <f t="shared" si="23"/>
        <v/>
      </c>
      <c r="C154" s="496">
        <f>IF(D94="","-",+C153+1)</f>
        <v>2069</v>
      </c>
      <c r="D154" s="350">
        <f>IF(F153+SUM(E$100:E153)=D$93,F153,D$93-SUM(E$100:E153))</f>
        <v>0</v>
      </c>
      <c r="E154" s="510">
        <f>IF(+J97&lt;F153,J97,D154)</f>
        <v>0</v>
      </c>
      <c r="F154" s="511">
        <f t="shared" si="38"/>
        <v>0</v>
      </c>
      <c r="G154" s="511">
        <f t="shared" si="39"/>
        <v>0</v>
      </c>
      <c r="H154" s="645">
        <f t="shared" si="40"/>
        <v>0</v>
      </c>
      <c r="I154" s="573">
        <f t="shared" si="41"/>
        <v>0</v>
      </c>
      <c r="J154" s="505">
        <f t="shared" si="43"/>
        <v>0</v>
      </c>
      <c r="K154" s="505"/>
      <c r="L154" s="513"/>
      <c r="M154" s="505">
        <f t="shared" si="44"/>
        <v>0</v>
      </c>
      <c r="N154" s="513"/>
      <c r="O154" s="505">
        <f t="shared" si="45"/>
        <v>0</v>
      </c>
      <c r="P154" s="505">
        <f t="shared" si="46"/>
        <v>0</v>
      </c>
      <c r="Q154" s="244"/>
      <c r="R154" s="244"/>
      <c r="S154" s="244"/>
      <c r="T154" s="244"/>
      <c r="U154" s="244"/>
    </row>
    <row r="155" spans="2:21" ht="13" thickBot="1">
      <c r="B155" s="145" t="str">
        <f t="shared" si="23"/>
        <v/>
      </c>
      <c r="C155" s="525">
        <f>IF(D94="","-",+C154+1)</f>
        <v>2070</v>
      </c>
      <c r="D155" s="350">
        <f>IF(F154+SUM(E$100:E154)=D$93,F154,D$93-SUM(E$100:E154))</f>
        <v>0</v>
      </c>
      <c r="E155" s="527">
        <f>IF(+J97&lt;F154,J97,D155)</f>
        <v>0</v>
      </c>
      <c r="F155" s="528">
        <f t="shared" si="38"/>
        <v>0</v>
      </c>
      <c r="G155" s="528">
        <f t="shared" si="39"/>
        <v>0</v>
      </c>
      <c r="H155" s="645">
        <f t="shared" si="40"/>
        <v>0</v>
      </c>
      <c r="I155" s="624">
        <f t="shared" si="41"/>
        <v>0</v>
      </c>
      <c r="J155" s="532">
        <f t="shared" si="43"/>
        <v>0</v>
      </c>
      <c r="K155" s="505"/>
      <c r="L155" s="531"/>
      <c r="M155" s="532">
        <f t="shared" si="44"/>
        <v>0</v>
      </c>
      <c r="N155" s="531"/>
      <c r="O155" s="532">
        <f t="shared" si="45"/>
        <v>0</v>
      </c>
      <c r="P155" s="532">
        <f t="shared" si="46"/>
        <v>0</v>
      </c>
      <c r="Q155" s="244"/>
      <c r="R155" s="244"/>
      <c r="S155" s="244"/>
      <c r="T155" s="244"/>
      <c r="U155" s="244"/>
    </row>
    <row r="156" spans="2:21" ht="12.5">
      <c r="C156" s="350" t="s">
        <v>75</v>
      </c>
      <c r="D156" s="295"/>
      <c r="E156" s="295">
        <f>SUM(E100:E155)</f>
        <v>8535104</v>
      </c>
      <c r="F156" s="295"/>
      <c r="G156" s="295"/>
      <c r="H156" s="295">
        <f>SUM(H100:H155)</f>
        <v>20113822.203298192</v>
      </c>
      <c r="I156" s="295">
        <f>SUM(I100:I155)</f>
        <v>20113822.203298192</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43" priority="1" stopIfTrue="1" operator="equal">
      <formula>$I$10</formula>
    </cfRule>
  </conditionalFormatting>
  <conditionalFormatting sqref="C100:C155">
    <cfRule type="cellIs" dxfId="42"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1">
    <tabColor theme="9" tint="0.39997558519241921"/>
  </sheetPr>
  <dimension ref="A1:U163"/>
  <sheetViews>
    <sheetView topLeftCell="A66" zoomScaleNormal="100" zoomScaleSheetLayoutView="78"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10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875617.10069768119</v>
      </c>
      <c r="P5" s="244"/>
      <c r="R5" s="244"/>
      <c r="S5" s="244"/>
      <c r="T5" s="244"/>
      <c r="U5" s="244"/>
    </row>
    <row r="6" spans="1:21" ht="15.5">
      <c r="C6" s="236"/>
      <c r="D6" s="293"/>
      <c r="E6" s="244"/>
      <c r="F6" s="244"/>
      <c r="G6" s="244"/>
      <c r="H6" s="450"/>
      <c r="I6" s="450"/>
      <c r="J6" s="451"/>
      <c r="K6" s="452" t="s">
        <v>243</v>
      </c>
      <c r="L6" s="453"/>
      <c r="M6" s="279"/>
      <c r="N6" s="454">
        <f>VLOOKUP(I10,C17:I73,6)</f>
        <v>875617.10069768119</v>
      </c>
      <c r="O6" s="244"/>
      <c r="P6" s="244"/>
      <c r="R6" s="244"/>
      <c r="S6" s="244"/>
      <c r="T6" s="244"/>
      <c r="U6" s="244"/>
    </row>
    <row r="7" spans="1:21" ht="13.5" thickBot="1">
      <c r="C7" s="455" t="s">
        <v>46</v>
      </c>
      <c r="D7" s="456" t="s">
        <v>229</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218</v>
      </c>
      <c r="E9" s="466"/>
      <c r="F9" s="466"/>
      <c r="G9" s="466"/>
      <c r="H9" s="466"/>
      <c r="I9" s="467"/>
      <c r="J9" s="468"/>
      <c r="O9" s="469"/>
      <c r="P9" s="279"/>
      <c r="R9" s="244"/>
      <c r="S9" s="244"/>
      <c r="T9" s="244"/>
      <c r="U9" s="244"/>
    </row>
    <row r="10" spans="1:21" ht="13">
      <c r="C10" s="470" t="s">
        <v>49</v>
      </c>
      <c r="D10" s="471">
        <v>7210308.9500000002</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2013</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12</v>
      </c>
      <c r="E12" s="473" t="s">
        <v>55</v>
      </c>
      <c r="F12" s="409"/>
      <c r="G12" s="221"/>
      <c r="H12" s="221"/>
      <c r="I12" s="477">
        <f>'OKT.WS.F.BPU.ATRR.Projected'!$F$78</f>
        <v>0.11475877389767174</v>
      </c>
      <c r="J12" s="414"/>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218494.2106060606</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2013</v>
      </c>
      <c r="D17" s="497">
        <v>7200873.8200000003</v>
      </c>
      <c r="E17" s="498">
        <v>0</v>
      </c>
      <c r="F17" s="497">
        <v>7200873.8200000003</v>
      </c>
      <c r="G17" s="498">
        <v>66024.408436961749</v>
      </c>
      <c r="H17" s="500">
        <v>66024.408436961749</v>
      </c>
      <c r="I17" s="585">
        <v>0</v>
      </c>
      <c r="J17" s="501"/>
      <c r="K17" s="502">
        <f t="shared" ref="K17:K22" si="1">G17</f>
        <v>66024.408436961749</v>
      </c>
      <c r="L17" s="503">
        <f t="shared" ref="L17:L22" si="2">IF(K17&lt;&gt;0,+G17-K17,0)</f>
        <v>0</v>
      </c>
      <c r="M17" s="502">
        <f t="shared" ref="M17:M22" si="3">H17</f>
        <v>66024.408436961749</v>
      </c>
      <c r="N17" s="504">
        <f>IF(M17&lt;&gt;0,+H17-M17,0)</f>
        <v>0</v>
      </c>
      <c r="O17" s="505">
        <f>+N17-L17</f>
        <v>0</v>
      </c>
      <c r="P17" s="279"/>
      <c r="R17" s="244"/>
      <c r="S17" s="244"/>
      <c r="T17" s="244"/>
      <c r="U17" s="244"/>
    </row>
    <row r="18" spans="2:21" ht="12.5">
      <c r="B18" s="145" t="str">
        <f t="shared" si="0"/>
        <v/>
      </c>
      <c r="C18" s="496">
        <f>IF(D11="","-",+C17+1)</f>
        <v>2014</v>
      </c>
      <c r="D18" s="506">
        <v>7200873.8200000003</v>
      </c>
      <c r="E18" s="499">
        <v>124569.42917795427</v>
      </c>
      <c r="F18" s="506">
        <v>7076304.3908220464</v>
      </c>
      <c r="G18" s="499">
        <v>903156.28905530274</v>
      </c>
      <c r="H18" s="500">
        <v>903156.28905530274</v>
      </c>
      <c r="I18" s="585">
        <v>0</v>
      </c>
      <c r="J18" s="501"/>
      <c r="K18" s="593">
        <f t="shared" si="1"/>
        <v>903156.28905530274</v>
      </c>
      <c r="L18" s="597">
        <f t="shared" si="2"/>
        <v>0</v>
      </c>
      <c r="M18" s="593">
        <f t="shared" si="3"/>
        <v>903156.28905530274</v>
      </c>
      <c r="N18" s="595">
        <f>IF(M18&lt;&gt;0,+H18-M18,0)</f>
        <v>0</v>
      </c>
      <c r="O18" s="597">
        <f>+N18-L18</f>
        <v>0</v>
      </c>
      <c r="P18" s="279"/>
      <c r="R18" s="244"/>
      <c r="S18" s="244"/>
      <c r="T18" s="244"/>
      <c r="U18" s="244"/>
    </row>
    <row r="19" spans="2:21" ht="12.5">
      <c r="B19" s="145" t="str">
        <f t="shared" si="0"/>
        <v/>
      </c>
      <c r="C19" s="496">
        <f>IF(D11="","-",+C18+1)</f>
        <v>2015</v>
      </c>
      <c r="D19" s="615">
        <v>7076304.3908220464</v>
      </c>
      <c r="E19" s="614">
        <v>124569.42917795427</v>
      </c>
      <c r="F19" s="615">
        <v>6951734.9616440926</v>
      </c>
      <c r="G19" s="614">
        <v>841053.03893843992</v>
      </c>
      <c r="H19" s="618">
        <v>841053.03893843992</v>
      </c>
      <c r="I19" s="585">
        <v>0</v>
      </c>
      <c r="J19" s="501"/>
      <c r="K19" s="593">
        <f t="shared" si="1"/>
        <v>841053.03893843992</v>
      </c>
      <c r="L19" s="597">
        <f t="shared" si="2"/>
        <v>0</v>
      </c>
      <c r="M19" s="593">
        <f t="shared" si="3"/>
        <v>841053.03893843992</v>
      </c>
      <c r="N19" s="595">
        <f>IF(M19&lt;&gt;0,+H19-M19,0)</f>
        <v>0</v>
      </c>
      <c r="O19" s="597">
        <f>+N19-L19</f>
        <v>0</v>
      </c>
      <c r="P19" s="279"/>
      <c r="R19" s="244"/>
      <c r="S19" s="244"/>
      <c r="T19" s="244"/>
      <c r="U19" s="244"/>
    </row>
    <row r="20" spans="2:21" ht="12.5">
      <c r="B20" s="145" t="str">
        <f t="shared" si="0"/>
        <v/>
      </c>
      <c r="C20" s="496">
        <f>IF(D11="","-",+C19+1)</f>
        <v>2016</v>
      </c>
      <c r="D20" s="615">
        <v>6951734.9616440926</v>
      </c>
      <c r="E20" s="614">
        <v>149630.22739831218</v>
      </c>
      <c r="F20" s="615">
        <v>6802104.7342457809</v>
      </c>
      <c r="G20" s="614">
        <v>883443.80340987013</v>
      </c>
      <c r="H20" s="618">
        <v>883443.80340987013</v>
      </c>
      <c r="I20" s="501">
        <f>H20-G20</f>
        <v>0</v>
      </c>
      <c r="J20" s="501"/>
      <c r="K20" s="593">
        <f t="shared" si="1"/>
        <v>883443.80340987013</v>
      </c>
      <c r="L20" s="597">
        <f t="shared" si="2"/>
        <v>0</v>
      </c>
      <c r="M20" s="593">
        <f t="shared" si="3"/>
        <v>883443.80340987013</v>
      </c>
      <c r="N20" s="505">
        <f t="shared" ref="N20:N73" si="4">IF(M20&lt;&gt;0,+H20-M20,0)</f>
        <v>0</v>
      </c>
      <c r="O20" s="505">
        <f t="shared" ref="O20:O73" si="5">+N20-L20</f>
        <v>0</v>
      </c>
      <c r="P20" s="279"/>
      <c r="R20" s="244"/>
      <c r="S20" s="244"/>
      <c r="T20" s="244"/>
      <c r="U20" s="244"/>
    </row>
    <row r="21" spans="2:21" ht="12.5">
      <c r="B21" s="145" t="str">
        <f t="shared" si="0"/>
        <v>IU</v>
      </c>
      <c r="C21" s="496">
        <f>IF(D11="","-",+C20+1)</f>
        <v>2017</v>
      </c>
      <c r="D21" s="615">
        <v>6811539.9142457796</v>
      </c>
      <c r="E21" s="614">
        <v>141768.94979225809</v>
      </c>
      <c r="F21" s="615">
        <v>6669770.9644535212</v>
      </c>
      <c r="G21" s="614">
        <v>882836.42245279858</v>
      </c>
      <c r="H21" s="618">
        <v>882836.42245279858</v>
      </c>
      <c r="I21" s="501">
        <f t="shared" ref="I21:I73" si="6">H21-G21</f>
        <v>0</v>
      </c>
      <c r="J21" s="501"/>
      <c r="K21" s="593">
        <f t="shared" si="1"/>
        <v>882836.42245279858</v>
      </c>
      <c r="L21" s="597">
        <f t="shared" si="2"/>
        <v>0</v>
      </c>
      <c r="M21" s="593">
        <f t="shared" si="3"/>
        <v>882836.42245279858</v>
      </c>
      <c r="N21" s="505">
        <f>IF(M21&lt;&gt;0,+H21-M21,0)</f>
        <v>0</v>
      </c>
      <c r="O21" s="505">
        <f>+N21-L21</f>
        <v>0</v>
      </c>
      <c r="P21" s="279"/>
      <c r="R21" s="244"/>
      <c r="S21" s="244"/>
      <c r="T21" s="244"/>
      <c r="U21" s="244"/>
    </row>
    <row r="22" spans="2:21" ht="12.5">
      <c r="B22" s="145" t="str">
        <f t="shared" si="0"/>
        <v/>
      </c>
      <c r="C22" s="496">
        <f>IF(D11="","-",+C21+1)</f>
        <v>2018</v>
      </c>
      <c r="D22" s="615">
        <v>6669770.9644535212</v>
      </c>
      <c r="E22" s="614">
        <v>176829.81385654397</v>
      </c>
      <c r="F22" s="615">
        <v>6492941.1505969772</v>
      </c>
      <c r="G22" s="614">
        <v>845651.23589628318</v>
      </c>
      <c r="H22" s="618">
        <v>845651.23589628318</v>
      </c>
      <c r="I22" s="501">
        <v>0</v>
      </c>
      <c r="J22" s="501"/>
      <c r="K22" s="593">
        <f t="shared" si="1"/>
        <v>845651.23589628318</v>
      </c>
      <c r="L22" s="597">
        <f t="shared" si="2"/>
        <v>0</v>
      </c>
      <c r="M22" s="593">
        <f t="shared" si="3"/>
        <v>845651.23589628318</v>
      </c>
      <c r="N22" s="505">
        <f>IF(M22&lt;&gt;0,+H22-M22,0)</f>
        <v>0</v>
      </c>
      <c r="O22" s="505">
        <f>+N22-L22</f>
        <v>0</v>
      </c>
      <c r="P22" s="279"/>
      <c r="R22" s="244"/>
      <c r="S22" s="244"/>
      <c r="T22" s="244"/>
      <c r="U22" s="244"/>
    </row>
    <row r="23" spans="2:21" ht="12.5">
      <c r="B23" s="145" t="str">
        <f t="shared" si="0"/>
        <v/>
      </c>
      <c r="C23" s="496">
        <f>IF(D11="","-",+C22+1)</f>
        <v>2019</v>
      </c>
      <c r="D23" s="615">
        <v>6492941.1505969772</v>
      </c>
      <c r="E23" s="614">
        <v>213849.4508925222</v>
      </c>
      <c r="F23" s="615">
        <v>6279091.6997044552</v>
      </c>
      <c r="G23" s="614">
        <v>877586.22744876624</v>
      </c>
      <c r="H23" s="618">
        <v>877586.22744876624</v>
      </c>
      <c r="I23" s="501">
        <f t="shared" si="6"/>
        <v>0</v>
      </c>
      <c r="J23" s="501"/>
      <c r="K23" s="593">
        <f t="shared" ref="K23" si="7">G23</f>
        <v>877586.22744876624</v>
      </c>
      <c r="L23" s="597">
        <f t="shared" ref="L23" si="8">IF(K23&lt;&gt;0,+G23-K23,0)</f>
        <v>0</v>
      </c>
      <c r="M23" s="593">
        <f t="shared" ref="M23" si="9">H23</f>
        <v>877586.22744876624</v>
      </c>
      <c r="N23" s="505">
        <f>IF(M23&lt;&gt;0,+H23-M23,0)</f>
        <v>0</v>
      </c>
      <c r="O23" s="505">
        <f>+N23-L23</f>
        <v>0</v>
      </c>
      <c r="P23" s="279"/>
      <c r="R23" s="244"/>
      <c r="S23" s="244"/>
      <c r="T23" s="244"/>
      <c r="U23" s="244"/>
    </row>
    <row r="24" spans="2:21" ht="12.5">
      <c r="B24" s="145" t="str">
        <f t="shared" si="0"/>
        <v>IU</v>
      </c>
      <c r="C24" s="496">
        <f>IF(D11="","-",+C23+1)</f>
        <v>2020</v>
      </c>
      <c r="D24" s="615">
        <v>6316111.3367404332</v>
      </c>
      <c r="E24" s="614">
        <v>211130.68525810694</v>
      </c>
      <c r="F24" s="615">
        <v>6104980.651482326</v>
      </c>
      <c r="G24" s="614">
        <v>862818.59359815018</v>
      </c>
      <c r="H24" s="618">
        <v>862818.59359815018</v>
      </c>
      <c r="I24" s="501">
        <f t="shared" si="6"/>
        <v>0</v>
      </c>
      <c r="J24" s="501"/>
      <c r="K24" s="593">
        <f t="shared" ref="K24" si="10">G24</f>
        <v>862818.59359815018</v>
      </c>
      <c r="L24" s="597">
        <f t="shared" ref="L24" si="11">IF(K24&lt;&gt;0,+G24-K24,0)</f>
        <v>0</v>
      </c>
      <c r="M24" s="593">
        <f t="shared" ref="M24" si="12">H24</f>
        <v>862818.59359815018</v>
      </c>
      <c r="N24" s="505">
        <f t="shared" si="4"/>
        <v>0</v>
      </c>
      <c r="O24" s="505">
        <f t="shared" si="5"/>
        <v>0</v>
      </c>
      <c r="P24" s="279"/>
      <c r="R24" s="244"/>
      <c r="S24" s="244"/>
      <c r="T24" s="244"/>
      <c r="U24" s="244"/>
    </row>
    <row r="25" spans="2:21" ht="12.5">
      <c r="B25" s="145" t="str">
        <f t="shared" si="0"/>
        <v>IU</v>
      </c>
      <c r="C25" s="496">
        <f>IF(D11="","-",+C24+1)</f>
        <v>2021</v>
      </c>
      <c r="D25" s="615">
        <v>6067961.014446348</v>
      </c>
      <c r="E25" s="614">
        <v>232590.61290322582</v>
      </c>
      <c r="F25" s="615">
        <v>5835370.4015431218</v>
      </c>
      <c r="G25" s="614">
        <v>876471.96738932701</v>
      </c>
      <c r="H25" s="618">
        <v>876471.96738932701</v>
      </c>
      <c r="I25" s="501">
        <f t="shared" si="6"/>
        <v>0</v>
      </c>
      <c r="J25" s="501"/>
      <c r="K25" s="593">
        <f t="shared" ref="K25" si="13">G25</f>
        <v>876471.96738932701</v>
      </c>
      <c r="L25" s="597">
        <f t="shared" ref="L25" si="14">IF(K25&lt;&gt;0,+G25-K25,0)</f>
        <v>0</v>
      </c>
      <c r="M25" s="593">
        <f t="shared" ref="M25" si="15">H25</f>
        <v>876471.96738932701</v>
      </c>
      <c r="N25" s="505">
        <f t="shared" si="4"/>
        <v>0</v>
      </c>
      <c r="O25" s="505">
        <f t="shared" si="5"/>
        <v>0</v>
      </c>
      <c r="P25" s="279"/>
      <c r="R25" s="244"/>
      <c r="S25" s="244"/>
      <c r="T25" s="244"/>
      <c r="U25" s="244"/>
    </row>
    <row r="26" spans="2:21" ht="12.5">
      <c r="B26" s="145" t="str">
        <f t="shared" si="0"/>
        <v/>
      </c>
      <c r="C26" s="496">
        <f>IF(D11="","-",+C25+1)</f>
        <v>2022</v>
      </c>
      <c r="D26" s="615">
        <v>5835370.4015431218</v>
      </c>
      <c r="E26" s="614">
        <v>218494.21212121213</v>
      </c>
      <c r="F26" s="615">
        <v>5616876.1894219099</v>
      </c>
      <c r="G26" s="614">
        <v>875617.10069768119</v>
      </c>
      <c r="H26" s="618">
        <v>875617.10069768119</v>
      </c>
      <c r="I26" s="501">
        <f t="shared" si="6"/>
        <v>0</v>
      </c>
      <c r="J26" s="501"/>
      <c r="K26" s="593">
        <f t="shared" ref="K26" si="16">G26</f>
        <v>875617.10069768119</v>
      </c>
      <c r="L26" s="597">
        <f t="shared" ref="L26" si="17">IF(K26&lt;&gt;0,+G26-K26,0)</f>
        <v>0</v>
      </c>
      <c r="M26" s="593">
        <f t="shared" ref="M26" si="18">H26</f>
        <v>875617.10069768119</v>
      </c>
      <c r="N26" s="505">
        <f t="shared" si="4"/>
        <v>0</v>
      </c>
      <c r="O26" s="505">
        <f t="shared" si="5"/>
        <v>0</v>
      </c>
      <c r="P26" s="279"/>
      <c r="R26" s="244"/>
      <c r="S26" s="244"/>
      <c r="T26" s="244"/>
      <c r="U26" s="244"/>
    </row>
    <row r="27" spans="2:21" ht="12.5">
      <c r="B27" s="145" t="str">
        <f t="shared" si="0"/>
        <v>IU</v>
      </c>
      <c r="C27" s="496">
        <f>IF(D11="","-",+C26+1)</f>
        <v>2023</v>
      </c>
      <c r="D27" s="615">
        <v>5616876.13942191</v>
      </c>
      <c r="E27" s="614">
        <v>232590.61129032259</v>
      </c>
      <c r="F27" s="615">
        <v>5384285.5281315874</v>
      </c>
      <c r="G27" s="614">
        <v>854336.96728904522</v>
      </c>
      <c r="H27" s="618">
        <v>854336.96728904522</v>
      </c>
      <c r="I27" s="501">
        <f t="shared" si="6"/>
        <v>0</v>
      </c>
      <c r="J27" s="501"/>
      <c r="K27" s="593">
        <f t="shared" ref="K27" si="19">G27</f>
        <v>854336.96728904522</v>
      </c>
      <c r="L27" s="597">
        <f t="shared" ref="L27" si="20">IF(K27&lt;&gt;0,+G27-K27,0)</f>
        <v>0</v>
      </c>
      <c r="M27" s="593">
        <f t="shared" ref="M27" si="21">H27</f>
        <v>854336.96728904522</v>
      </c>
      <c r="N27" s="505">
        <f t="shared" si="4"/>
        <v>0</v>
      </c>
      <c r="O27" s="505">
        <f t="shared" si="5"/>
        <v>0</v>
      </c>
      <c r="P27" s="279"/>
      <c r="R27" s="244"/>
      <c r="S27" s="244"/>
      <c r="T27" s="244"/>
      <c r="U27" s="244"/>
    </row>
    <row r="28" spans="2:21" ht="12.5">
      <c r="B28" s="145" t="str">
        <f t="shared" si="0"/>
        <v/>
      </c>
      <c r="C28" s="496">
        <f>IF(D11="","-",+C27+1)</f>
        <v>2024</v>
      </c>
      <c r="D28" s="509">
        <f>IF(F27+SUM(E$17:E27)=D$10,F27,D$10-SUM(E$17:E27))</f>
        <v>5384285.5281315874</v>
      </c>
      <c r="E28" s="510">
        <f t="shared" ref="E28:E73" si="22">IF(+$I$14&lt;F27,$I$14,D28)</f>
        <v>218494.2106060606</v>
      </c>
      <c r="F28" s="511">
        <f t="shared" ref="F28:F73" si="23">+D28-E28</f>
        <v>5165791.3175255265</v>
      </c>
      <c r="G28" s="512">
        <f t="shared" ref="G28:G73" si="24">(D28+F28)/2*I$12+E28</f>
        <v>823851.15227297391</v>
      </c>
      <c r="H28" s="478">
        <f t="shared" ref="H28:H73" si="25">+(D28+F28)/2*I$13+E28</f>
        <v>823851.15227297391</v>
      </c>
      <c r="I28" s="501">
        <f t="shared" si="6"/>
        <v>0</v>
      </c>
      <c r="J28" s="501"/>
      <c r="K28" s="513"/>
      <c r="L28" s="505">
        <f t="shared" ref="L28:L73" si="26">IF(K28&lt;&gt;0,+G28-K28,0)</f>
        <v>0</v>
      </c>
      <c r="M28" s="513"/>
      <c r="N28" s="505">
        <f t="shared" si="4"/>
        <v>0</v>
      </c>
      <c r="O28" s="505">
        <f t="shared" si="5"/>
        <v>0</v>
      </c>
      <c r="P28" s="279"/>
      <c r="R28" s="244"/>
      <c r="S28" s="244"/>
      <c r="T28" s="244"/>
      <c r="U28" s="244"/>
    </row>
    <row r="29" spans="2:21" ht="12.5">
      <c r="B29" s="145" t="str">
        <f t="shared" si="0"/>
        <v/>
      </c>
      <c r="C29" s="496">
        <f>IF(D11="","-",+C28+1)</f>
        <v>2025</v>
      </c>
      <c r="D29" s="509">
        <f>IF(F28+SUM(E$17:E28)=D$10,F28,D$10-SUM(E$17:E28))</f>
        <v>5165791.3175255265</v>
      </c>
      <c r="E29" s="510">
        <f t="shared" si="22"/>
        <v>218494.2106060606</v>
      </c>
      <c r="F29" s="511">
        <f t="shared" si="23"/>
        <v>4947297.1069194656</v>
      </c>
      <c r="G29" s="512">
        <f t="shared" si="24"/>
        <v>798777.0245600827</v>
      </c>
      <c r="H29" s="478">
        <f t="shared" si="25"/>
        <v>798777.0245600827</v>
      </c>
      <c r="I29" s="501">
        <f t="shared" si="6"/>
        <v>0</v>
      </c>
      <c r="J29" s="501"/>
      <c r="K29" s="513"/>
      <c r="L29" s="505">
        <f t="shared" si="26"/>
        <v>0</v>
      </c>
      <c r="M29" s="513"/>
      <c r="N29" s="505">
        <f t="shared" si="4"/>
        <v>0</v>
      </c>
      <c r="O29" s="505">
        <f t="shared" si="5"/>
        <v>0</v>
      </c>
      <c r="P29" s="279"/>
      <c r="R29" s="244"/>
      <c r="S29" s="244"/>
      <c r="T29" s="244"/>
      <c r="U29" s="244"/>
    </row>
    <row r="30" spans="2:21" ht="12.5">
      <c r="B30" s="145" t="str">
        <f t="shared" si="0"/>
        <v/>
      </c>
      <c r="C30" s="496">
        <f>IF(D11="","-",+C29+1)</f>
        <v>2026</v>
      </c>
      <c r="D30" s="509">
        <f>IF(F29+SUM(E$17:E29)=D$10,F29,D$10-SUM(E$17:E29))</f>
        <v>4947297.1069194656</v>
      </c>
      <c r="E30" s="510">
        <f t="shared" si="22"/>
        <v>218494.2106060606</v>
      </c>
      <c r="F30" s="511">
        <f t="shared" si="23"/>
        <v>4728802.8963134047</v>
      </c>
      <c r="G30" s="512">
        <f t="shared" si="24"/>
        <v>773702.89684719138</v>
      </c>
      <c r="H30" s="478">
        <f t="shared" si="25"/>
        <v>773702.89684719138</v>
      </c>
      <c r="I30" s="501">
        <f t="shared" si="6"/>
        <v>0</v>
      </c>
      <c r="J30" s="501"/>
      <c r="K30" s="513"/>
      <c r="L30" s="505">
        <f t="shared" si="26"/>
        <v>0</v>
      </c>
      <c r="M30" s="513"/>
      <c r="N30" s="505">
        <f t="shared" si="4"/>
        <v>0</v>
      </c>
      <c r="O30" s="505">
        <f t="shared" si="5"/>
        <v>0</v>
      </c>
      <c r="P30" s="279"/>
      <c r="R30" s="244"/>
      <c r="S30" s="244"/>
      <c r="T30" s="244"/>
      <c r="U30" s="244"/>
    </row>
    <row r="31" spans="2:21" ht="12.5">
      <c r="B31" s="145" t="str">
        <f t="shared" si="0"/>
        <v/>
      </c>
      <c r="C31" s="496">
        <f>IF(D11="","-",+C30+1)</f>
        <v>2027</v>
      </c>
      <c r="D31" s="509">
        <f>IF(F30+SUM(E$17:E30)=D$10,F30,D$10-SUM(E$17:E30))</f>
        <v>4728802.8963134047</v>
      </c>
      <c r="E31" s="510">
        <f t="shared" si="22"/>
        <v>218494.2106060606</v>
      </c>
      <c r="F31" s="511">
        <f t="shared" si="23"/>
        <v>4510308.6857073437</v>
      </c>
      <c r="G31" s="512">
        <f t="shared" si="24"/>
        <v>748628.76913430018</v>
      </c>
      <c r="H31" s="478">
        <f t="shared" si="25"/>
        <v>748628.76913430018</v>
      </c>
      <c r="I31" s="501">
        <f t="shared" si="6"/>
        <v>0</v>
      </c>
      <c r="J31" s="501"/>
      <c r="K31" s="513"/>
      <c r="L31" s="505">
        <f t="shared" si="26"/>
        <v>0</v>
      </c>
      <c r="M31" s="513"/>
      <c r="N31" s="505">
        <f t="shared" si="4"/>
        <v>0</v>
      </c>
      <c r="O31" s="505">
        <f t="shared" si="5"/>
        <v>0</v>
      </c>
      <c r="P31" s="279"/>
      <c r="Q31" s="221"/>
      <c r="R31" s="279"/>
      <c r="S31" s="279"/>
      <c r="T31" s="279"/>
      <c r="U31" s="244"/>
    </row>
    <row r="32" spans="2:21" ht="12.5">
      <c r="B32" s="145" t="str">
        <f t="shared" si="0"/>
        <v/>
      </c>
      <c r="C32" s="496">
        <f>IF(D12="","-",+C31+1)</f>
        <v>2028</v>
      </c>
      <c r="D32" s="509">
        <f>IF(F31+SUM(E$17:E31)=D$10,F31,D$10-SUM(E$17:E31))</f>
        <v>4510308.6857073437</v>
      </c>
      <c r="E32" s="510">
        <f>IF(+$I$14&lt;F31,$I$14,D32)</f>
        <v>218494.2106060606</v>
      </c>
      <c r="F32" s="511">
        <f>+D32-E32</f>
        <v>4291814.4751012828</v>
      </c>
      <c r="G32" s="512">
        <f t="shared" si="24"/>
        <v>723554.64142140897</v>
      </c>
      <c r="H32" s="478">
        <f t="shared" si="25"/>
        <v>723554.64142140897</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2029</v>
      </c>
      <c r="D33" s="509">
        <f>IF(F32+SUM(E$17:E32)=D$10,F32,D$10-SUM(E$17:E32))</f>
        <v>4291814.4751012828</v>
      </c>
      <c r="E33" s="510">
        <f>IF(+$I$14&lt;F32,$I$14,D33)</f>
        <v>218494.2106060606</v>
      </c>
      <c r="F33" s="511">
        <f>+D33-E33</f>
        <v>4073320.2644952224</v>
      </c>
      <c r="G33" s="512">
        <f t="shared" si="24"/>
        <v>698480.51370851777</v>
      </c>
      <c r="H33" s="478">
        <f t="shared" si="25"/>
        <v>698480.51370851777</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496">
        <f>IF(D14="","-",+C33+1)</f>
        <v>2030</v>
      </c>
      <c r="D34" s="515">
        <f>IF(F33+SUM(E$17:E33)=D$10,F33,D$10-SUM(E$17:E33))</f>
        <v>4073320.2644952224</v>
      </c>
      <c r="E34" s="516">
        <f t="shared" si="22"/>
        <v>218494.2106060606</v>
      </c>
      <c r="F34" s="517">
        <f t="shared" si="23"/>
        <v>3854826.0538891619</v>
      </c>
      <c r="G34" s="512">
        <f t="shared" si="24"/>
        <v>673406.38599562668</v>
      </c>
      <c r="H34" s="478">
        <f t="shared" si="25"/>
        <v>673406.38599562668</v>
      </c>
      <c r="I34" s="520">
        <f t="shared" si="6"/>
        <v>0</v>
      </c>
      <c r="J34" s="520"/>
      <c r="K34" s="521"/>
      <c r="L34" s="522">
        <f t="shared" si="26"/>
        <v>0</v>
      </c>
      <c r="M34" s="521"/>
      <c r="N34" s="522">
        <f t="shared" si="4"/>
        <v>0</v>
      </c>
      <c r="O34" s="522">
        <f t="shared" si="5"/>
        <v>0</v>
      </c>
      <c r="P34" s="523"/>
      <c r="Q34" s="217"/>
      <c r="R34" s="523"/>
      <c r="S34" s="523"/>
      <c r="T34" s="523"/>
      <c r="U34" s="244"/>
    </row>
    <row r="35" spans="2:21" ht="12.5">
      <c r="B35" s="145" t="str">
        <f t="shared" si="0"/>
        <v/>
      </c>
      <c r="C35" s="496">
        <f>IF(D11="","-",+C34+1)</f>
        <v>2031</v>
      </c>
      <c r="D35" s="509">
        <f>IF(F34+SUM(E$17:E34)=D$10,F34,D$10-SUM(E$17:E34))</f>
        <v>3854826.0538891619</v>
      </c>
      <c r="E35" s="510">
        <f t="shared" si="22"/>
        <v>218494.2106060606</v>
      </c>
      <c r="F35" s="511">
        <f t="shared" si="23"/>
        <v>3636331.8432831015</v>
      </c>
      <c r="G35" s="512">
        <f t="shared" si="24"/>
        <v>648332.25828273548</v>
      </c>
      <c r="H35" s="478">
        <f t="shared" si="25"/>
        <v>648332.25828273548</v>
      </c>
      <c r="I35" s="501">
        <f t="shared" si="6"/>
        <v>0</v>
      </c>
      <c r="J35" s="501"/>
      <c r="K35" s="513"/>
      <c r="L35" s="505">
        <f t="shared" si="26"/>
        <v>0</v>
      </c>
      <c r="M35" s="513"/>
      <c r="N35" s="505">
        <f t="shared" si="4"/>
        <v>0</v>
      </c>
      <c r="O35" s="505">
        <f t="shared" si="5"/>
        <v>0</v>
      </c>
      <c r="P35" s="279"/>
      <c r="R35" s="244"/>
      <c r="S35" s="244"/>
      <c r="T35" s="244"/>
      <c r="U35" s="244"/>
    </row>
    <row r="36" spans="2:21" ht="12.5">
      <c r="B36" s="145" t="str">
        <f t="shared" si="0"/>
        <v/>
      </c>
      <c r="C36" s="496">
        <f>IF(D11="","-",+C35+1)</f>
        <v>2032</v>
      </c>
      <c r="D36" s="509">
        <f>IF(F35+SUM(E$17:E35)=D$10,F35,D$10-SUM(E$17:E35))</f>
        <v>3636331.8432831015</v>
      </c>
      <c r="E36" s="510">
        <f t="shared" si="22"/>
        <v>218494.2106060606</v>
      </c>
      <c r="F36" s="511">
        <f t="shared" si="23"/>
        <v>3417837.632677041</v>
      </c>
      <c r="G36" s="512">
        <f t="shared" si="24"/>
        <v>623258.13056984439</v>
      </c>
      <c r="H36" s="478">
        <f t="shared" si="25"/>
        <v>623258.13056984439</v>
      </c>
      <c r="I36" s="501">
        <f t="shared" si="6"/>
        <v>0</v>
      </c>
      <c r="J36" s="501"/>
      <c r="K36" s="513"/>
      <c r="L36" s="505">
        <f t="shared" si="26"/>
        <v>0</v>
      </c>
      <c r="M36" s="513"/>
      <c r="N36" s="505">
        <f t="shared" si="4"/>
        <v>0</v>
      </c>
      <c r="O36" s="505">
        <f t="shared" si="5"/>
        <v>0</v>
      </c>
      <c r="P36" s="279"/>
      <c r="R36" s="244"/>
      <c r="S36" s="244"/>
      <c r="T36" s="244"/>
      <c r="U36" s="244"/>
    </row>
    <row r="37" spans="2:21" ht="12.5">
      <c r="B37" s="145" t="str">
        <f t="shared" si="0"/>
        <v/>
      </c>
      <c r="C37" s="496">
        <f>IF(D11="","-",+C36+1)</f>
        <v>2033</v>
      </c>
      <c r="D37" s="509">
        <f>IF(F36+SUM(E$17:E36)=D$10,F36,D$10-SUM(E$17:E36))</f>
        <v>3417837.632677041</v>
      </c>
      <c r="E37" s="510">
        <f t="shared" si="22"/>
        <v>218494.2106060606</v>
      </c>
      <c r="F37" s="511">
        <f t="shared" si="23"/>
        <v>3199343.4220709805</v>
      </c>
      <c r="G37" s="512">
        <f t="shared" si="24"/>
        <v>598184.00285695319</v>
      </c>
      <c r="H37" s="478">
        <f t="shared" si="25"/>
        <v>598184.00285695319</v>
      </c>
      <c r="I37" s="501">
        <f t="shared" si="6"/>
        <v>0</v>
      </c>
      <c r="J37" s="501"/>
      <c r="K37" s="513"/>
      <c r="L37" s="505">
        <f t="shared" si="26"/>
        <v>0</v>
      </c>
      <c r="M37" s="513"/>
      <c r="N37" s="505">
        <f t="shared" si="4"/>
        <v>0</v>
      </c>
      <c r="O37" s="505">
        <f t="shared" si="5"/>
        <v>0</v>
      </c>
      <c r="P37" s="279"/>
      <c r="R37" s="244"/>
      <c r="S37" s="244"/>
      <c r="T37" s="244"/>
      <c r="U37" s="244"/>
    </row>
    <row r="38" spans="2:21" ht="12.5">
      <c r="B38" s="145" t="str">
        <f t="shared" si="0"/>
        <v/>
      </c>
      <c r="C38" s="496">
        <f>IF(D11="","-",+C37+1)</f>
        <v>2034</v>
      </c>
      <c r="D38" s="509">
        <f>IF(F37+SUM(E$17:E37)=D$10,F37,D$10-SUM(E$17:E37))</f>
        <v>3199343.4220709805</v>
      </c>
      <c r="E38" s="510">
        <f t="shared" si="22"/>
        <v>218494.2106060606</v>
      </c>
      <c r="F38" s="511">
        <f t="shared" si="23"/>
        <v>2980849.2114649201</v>
      </c>
      <c r="G38" s="512">
        <f t="shared" si="24"/>
        <v>573109.8751440621</v>
      </c>
      <c r="H38" s="478">
        <f t="shared" si="25"/>
        <v>573109.8751440621</v>
      </c>
      <c r="I38" s="501">
        <f t="shared" si="6"/>
        <v>0</v>
      </c>
      <c r="J38" s="501"/>
      <c r="K38" s="513"/>
      <c r="L38" s="505">
        <f t="shared" si="26"/>
        <v>0</v>
      </c>
      <c r="M38" s="513"/>
      <c r="N38" s="505">
        <f t="shared" si="4"/>
        <v>0</v>
      </c>
      <c r="O38" s="505">
        <f t="shared" si="5"/>
        <v>0</v>
      </c>
      <c r="P38" s="279"/>
      <c r="R38" s="244"/>
      <c r="S38" s="244"/>
      <c r="T38" s="244"/>
      <c r="U38" s="244"/>
    </row>
    <row r="39" spans="2:21" ht="12.5">
      <c r="B39" s="145" t="str">
        <f t="shared" si="0"/>
        <v/>
      </c>
      <c r="C39" s="496">
        <f>IF(D11="","-",+C38+1)</f>
        <v>2035</v>
      </c>
      <c r="D39" s="509">
        <f>IF(F38+SUM(E$17:E38)=D$10,F38,D$10-SUM(E$17:E38))</f>
        <v>2980849.2114649201</v>
      </c>
      <c r="E39" s="510">
        <f t="shared" si="22"/>
        <v>218494.2106060606</v>
      </c>
      <c r="F39" s="511">
        <f t="shared" si="23"/>
        <v>2762355.0008588596</v>
      </c>
      <c r="G39" s="512">
        <f t="shared" si="24"/>
        <v>548035.74743117089</v>
      </c>
      <c r="H39" s="478">
        <f t="shared" si="25"/>
        <v>548035.74743117089</v>
      </c>
      <c r="I39" s="501">
        <f t="shared" si="6"/>
        <v>0</v>
      </c>
      <c r="J39" s="501"/>
      <c r="K39" s="513"/>
      <c r="L39" s="505">
        <f t="shared" si="26"/>
        <v>0</v>
      </c>
      <c r="M39" s="513"/>
      <c r="N39" s="505">
        <f t="shared" si="4"/>
        <v>0</v>
      </c>
      <c r="O39" s="505">
        <f t="shared" si="5"/>
        <v>0</v>
      </c>
      <c r="P39" s="279"/>
      <c r="R39" s="244"/>
      <c r="S39" s="244"/>
      <c r="T39" s="244"/>
      <c r="U39" s="244"/>
    </row>
    <row r="40" spans="2:21" ht="12.5">
      <c r="B40" s="145" t="str">
        <f t="shared" si="0"/>
        <v/>
      </c>
      <c r="C40" s="496">
        <f>IF(D11="","-",+C39+1)</f>
        <v>2036</v>
      </c>
      <c r="D40" s="509">
        <f>IF(F39+SUM(E$17:E39)=D$10,F39,D$10-SUM(E$17:E39))</f>
        <v>2762355.0008588596</v>
      </c>
      <c r="E40" s="510">
        <f t="shared" si="22"/>
        <v>218494.2106060606</v>
      </c>
      <c r="F40" s="511">
        <f t="shared" si="23"/>
        <v>2543860.7902527992</v>
      </c>
      <c r="G40" s="512">
        <f t="shared" si="24"/>
        <v>522961.61971827969</v>
      </c>
      <c r="H40" s="478">
        <f t="shared" si="25"/>
        <v>522961.61971827969</v>
      </c>
      <c r="I40" s="501">
        <f t="shared" si="6"/>
        <v>0</v>
      </c>
      <c r="J40" s="501"/>
      <c r="K40" s="513"/>
      <c r="L40" s="505">
        <f t="shared" si="26"/>
        <v>0</v>
      </c>
      <c r="M40" s="513"/>
      <c r="N40" s="505">
        <f t="shared" si="4"/>
        <v>0</v>
      </c>
      <c r="O40" s="505">
        <f t="shared" si="5"/>
        <v>0</v>
      </c>
      <c r="P40" s="279"/>
      <c r="R40" s="244"/>
      <c r="S40" s="244"/>
      <c r="T40" s="244"/>
      <c r="U40" s="244"/>
    </row>
    <row r="41" spans="2:21" ht="12.5">
      <c r="B41" s="145" t="str">
        <f t="shared" si="0"/>
        <v/>
      </c>
      <c r="C41" s="496">
        <f>IF(D12="","-",+C40+1)</f>
        <v>2037</v>
      </c>
      <c r="D41" s="509">
        <f>IF(F40+SUM(E$17:E40)=D$10,F40,D$10-SUM(E$17:E40))</f>
        <v>2543860.7902527992</v>
      </c>
      <c r="E41" s="510">
        <f t="shared" si="22"/>
        <v>218494.2106060606</v>
      </c>
      <c r="F41" s="511">
        <f t="shared" si="23"/>
        <v>2325366.5796467387</v>
      </c>
      <c r="G41" s="512">
        <f t="shared" si="24"/>
        <v>497887.49200538849</v>
      </c>
      <c r="H41" s="478">
        <f t="shared" si="25"/>
        <v>497887.49200538849</v>
      </c>
      <c r="I41" s="501">
        <f t="shared" si="6"/>
        <v>0</v>
      </c>
      <c r="J41" s="501"/>
      <c r="K41" s="513"/>
      <c r="L41" s="505">
        <f t="shared" si="26"/>
        <v>0</v>
      </c>
      <c r="M41" s="513"/>
      <c r="N41" s="505">
        <f t="shared" si="4"/>
        <v>0</v>
      </c>
      <c r="O41" s="505">
        <f t="shared" si="5"/>
        <v>0</v>
      </c>
      <c r="P41" s="279"/>
      <c r="R41" s="244"/>
      <c r="S41" s="244"/>
      <c r="T41" s="244"/>
      <c r="U41" s="244"/>
    </row>
    <row r="42" spans="2:21" ht="12.5">
      <c r="B42" s="145" t="str">
        <f t="shared" si="0"/>
        <v/>
      </c>
      <c r="C42" s="496">
        <f>IF(D13="","-",+C41+1)</f>
        <v>2038</v>
      </c>
      <c r="D42" s="509">
        <f>IF(F41+SUM(E$17:E41)=D$10,F41,D$10-SUM(E$17:E41))</f>
        <v>2325366.5796467387</v>
      </c>
      <c r="E42" s="510">
        <f t="shared" si="22"/>
        <v>218494.2106060606</v>
      </c>
      <c r="F42" s="511">
        <f t="shared" si="23"/>
        <v>2106872.3690406783</v>
      </c>
      <c r="G42" s="512">
        <f t="shared" si="24"/>
        <v>472813.3642924974</v>
      </c>
      <c r="H42" s="478">
        <f t="shared" si="25"/>
        <v>472813.3642924974</v>
      </c>
      <c r="I42" s="501">
        <f t="shared" si="6"/>
        <v>0</v>
      </c>
      <c r="J42" s="501"/>
      <c r="K42" s="513"/>
      <c r="L42" s="505">
        <f t="shared" si="26"/>
        <v>0</v>
      </c>
      <c r="M42" s="513"/>
      <c r="N42" s="505">
        <f t="shared" si="4"/>
        <v>0</v>
      </c>
      <c r="O42" s="505">
        <f t="shared" si="5"/>
        <v>0</v>
      </c>
      <c r="P42" s="279"/>
      <c r="R42" s="244"/>
      <c r="S42" s="244"/>
      <c r="T42" s="244"/>
      <c r="U42" s="244"/>
    </row>
    <row r="43" spans="2:21" ht="12.5">
      <c r="B43" s="145" t="str">
        <f t="shared" si="0"/>
        <v/>
      </c>
      <c r="C43" s="496">
        <f>IF(D11="","-",+C42+1)</f>
        <v>2039</v>
      </c>
      <c r="D43" s="509">
        <f>IF(F42+SUM(E$17:E42)=D$10,F42,D$10-SUM(E$17:E42))</f>
        <v>2106872.3690406783</v>
      </c>
      <c r="E43" s="510">
        <f t="shared" si="22"/>
        <v>218494.2106060606</v>
      </c>
      <c r="F43" s="511">
        <f t="shared" si="23"/>
        <v>1888378.1584346176</v>
      </c>
      <c r="G43" s="512">
        <f t="shared" si="24"/>
        <v>447739.23657960619</v>
      </c>
      <c r="H43" s="478">
        <f t="shared" si="25"/>
        <v>447739.23657960619</v>
      </c>
      <c r="I43" s="501">
        <f t="shared" si="6"/>
        <v>0</v>
      </c>
      <c r="J43" s="501"/>
      <c r="K43" s="513"/>
      <c r="L43" s="505">
        <f t="shared" si="26"/>
        <v>0</v>
      </c>
      <c r="M43" s="513"/>
      <c r="N43" s="505">
        <f t="shared" si="4"/>
        <v>0</v>
      </c>
      <c r="O43" s="505">
        <f t="shared" si="5"/>
        <v>0</v>
      </c>
      <c r="P43" s="279"/>
      <c r="R43" s="244"/>
      <c r="S43" s="244"/>
      <c r="T43" s="244"/>
      <c r="U43" s="244"/>
    </row>
    <row r="44" spans="2:21" ht="12.5">
      <c r="B44" s="145" t="str">
        <f t="shared" si="0"/>
        <v/>
      </c>
      <c r="C44" s="496">
        <f>IF(D11="","-",+C43+1)</f>
        <v>2040</v>
      </c>
      <c r="D44" s="509">
        <f>IF(F43+SUM(E$17:E43)=D$10,F43,D$10-SUM(E$17:E43))</f>
        <v>1888378.1584346176</v>
      </c>
      <c r="E44" s="510">
        <f t="shared" si="22"/>
        <v>218494.2106060606</v>
      </c>
      <c r="F44" s="511">
        <f t="shared" si="23"/>
        <v>1669883.9478285569</v>
      </c>
      <c r="G44" s="512">
        <f t="shared" si="24"/>
        <v>422665.10886671505</v>
      </c>
      <c r="H44" s="478">
        <f t="shared" si="25"/>
        <v>422665.10886671505</v>
      </c>
      <c r="I44" s="501">
        <f t="shared" si="6"/>
        <v>0</v>
      </c>
      <c r="J44" s="501"/>
      <c r="K44" s="513"/>
      <c r="L44" s="505">
        <f t="shared" si="26"/>
        <v>0</v>
      </c>
      <c r="M44" s="513"/>
      <c r="N44" s="505">
        <f t="shared" si="4"/>
        <v>0</v>
      </c>
      <c r="O44" s="505">
        <f t="shared" si="5"/>
        <v>0</v>
      </c>
      <c r="P44" s="279"/>
      <c r="R44" s="244"/>
      <c r="S44" s="244"/>
      <c r="T44" s="244"/>
      <c r="U44" s="244"/>
    </row>
    <row r="45" spans="2:21" ht="12.5">
      <c r="B45" s="145" t="str">
        <f t="shared" si="0"/>
        <v/>
      </c>
      <c r="C45" s="496">
        <f>IF(D11="","-",+C44+1)</f>
        <v>2041</v>
      </c>
      <c r="D45" s="509">
        <f>IF(F44+SUM(E$17:E44)=D$10,F44,D$10-SUM(E$17:E44))</f>
        <v>1669883.9478285569</v>
      </c>
      <c r="E45" s="510">
        <f t="shared" si="22"/>
        <v>218494.2106060606</v>
      </c>
      <c r="F45" s="511">
        <f t="shared" si="23"/>
        <v>1451389.7372224962</v>
      </c>
      <c r="G45" s="512">
        <f t="shared" si="24"/>
        <v>397590.98115382378</v>
      </c>
      <c r="H45" s="478">
        <f t="shared" si="25"/>
        <v>397590.98115382378</v>
      </c>
      <c r="I45" s="501">
        <f t="shared" si="6"/>
        <v>0</v>
      </c>
      <c r="J45" s="501"/>
      <c r="K45" s="513"/>
      <c r="L45" s="505">
        <f t="shared" si="26"/>
        <v>0</v>
      </c>
      <c r="M45" s="513"/>
      <c r="N45" s="505">
        <f t="shared" si="4"/>
        <v>0</v>
      </c>
      <c r="O45" s="505">
        <f t="shared" si="5"/>
        <v>0</v>
      </c>
      <c r="P45" s="279"/>
      <c r="R45" s="244"/>
      <c r="S45" s="244"/>
      <c r="T45" s="244"/>
      <c r="U45" s="244"/>
    </row>
    <row r="46" spans="2:21" ht="12.5">
      <c r="B46" s="145" t="str">
        <f t="shared" si="0"/>
        <v/>
      </c>
      <c r="C46" s="496">
        <f>IF(D11="","-",+C45+1)</f>
        <v>2042</v>
      </c>
      <c r="D46" s="509">
        <f>IF(F45+SUM(E$17:E45)=D$10,F45,D$10-SUM(E$17:E45))</f>
        <v>1451389.7372224962</v>
      </c>
      <c r="E46" s="510">
        <f t="shared" si="22"/>
        <v>218494.2106060606</v>
      </c>
      <c r="F46" s="511">
        <f t="shared" si="23"/>
        <v>1232895.5266164355</v>
      </c>
      <c r="G46" s="512">
        <f t="shared" si="24"/>
        <v>372516.8534409327</v>
      </c>
      <c r="H46" s="478">
        <f t="shared" si="25"/>
        <v>372516.8534409327</v>
      </c>
      <c r="I46" s="501">
        <f t="shared" si="6"/>
        <v>0</v>
      </c>
      <c r="J46" s="501"/>
      <c r="K46" s="513"/>
      <c r="L46" s="505">
        <f t="shared" si="26"/>
        <v>0</v>
      </c>
      <c r="M46" s="513"/>
      <c r="N46" s="505">
        <f t="shared" si="4"/>
        <v>0</v>
      </c>
      <c r="O46" s="505">
        <f t="shared" si="5"/>
        <v>0</v>
      </c>
      <c r="P46" s="279"/>
      <c r="R46" s="244"/>
      <c r="S46" s="244"/>
      <c r="T46" s="244"/>
      <c r="U46" s="244"/>
    </row>
    <row r="47" spans="2:21" ht="12.5">
      <c r="B47" s="145" t="str">
        <f t="shared" si="0"/>
        <v/>
      </c>
      <c r="C47" s="496">
        <f>IF(D11="","-",+C46+1)</f>
        <v>2043</v>
      </c>
      <c r="D47" s="509">
        <f>IF(F46+SUM(E$17:E46)=D$10,F46,D$10-SUM(E$17:E46))</f>
        <v>1232895.5266164355</v>
      </c>
      <c r="E47" s="510">
        <f t="shared" si="22"/>
        <v>218494.2106060606</v>
      </c>
      <c r="F47" s="511">
        <f t="shared" si="23"/>
        <v>1014401.3160103749</v>
      </c>
      <c r="G47" s="512">
        <f t="shared" si="24"/>
        <v>347442.72572804149</v>
      </c>
      <c r="H47" s="478">
        <f t="shared" si="25"/>
        <v>347442.72572804149</v>
      </c>
      <c r="I47" s="501">
        <f t="shared" si="6"/>
        <v>0</v>
      </c>
      <c r="J47" s="501"/>
      <c r="K47" s="513"/>
      <c r="L47" s="505">
        <f t="shared" si="26"/>
        <v>0</v>
      </c>
      <c r="M47" s="513"/>
      <c r="N47" s="505">
        <f t="shared" si="4"/>
        <v>0</v>
      </c>
      <c r="O47" s="505">
        <f t="shared" si="5"/>
        <v>0</v>
      </c>
      <c r="P47" s="279"/>
      <c r="R47" s="244"/>
      <c r="S47" s="244"/>
      <c r="T47" s="244"/>
      <c r="U47" s="244"/>
    </row>
    <row r="48" spans="2:21" ht="12.5">
      <c r="B48" s="145" t="str">
        <f t="shared" si="0"/>
        <v/>
      </c>
      <c r="C48" s="496">
        <f>IF(D11="","-",+C47+1)</f>
        <v>2044</v>
      </c>
      <c r="D48" s="509">
        <f>IF(F47+SUM(E$17:E47)=D$10,F47,D$10-SUM(E$17:E47))</f>
        <v>1014401.3160103749</v>
      </c>
      <c r="E48" s="510">
        <f t="shared" si="22"/>
        <v>218494.2106060606</v>
      </c>
      <c r="F48" s="511">
        <f t="shared" si="23"/>
        <v>795907.10540431435</v>
      </c>
      <c r="G48" s="512">
        <f t="shared" si="24"/>
        <v>322368.59801515029</v>
      </c>
      <c r="H48" s="478">
        <f t="shared" si="25"/>
        <v>322368.59801515029</v>
      </c>
      <c r="I48" s="501">
        <f t="shared" si="6"/>
        <v>0</v>
      </c>
      <c r="J48" s="501"/>
      <c r="K48" s="513"/>
      <c r="L48" s="505">
        <f t="shared" si="26"/>
        <v>0</v>
      </c>
      <c r="M48" s="513"/>
      <c r="N48" s="505">
        <f t="shared" si="4"/>
        <v>0</v>
      </c>
      <c r="O48" s="505">
        <f t="shared" si="5"/>
        <v>0</v>
      </c>
      <c r="P48" s="279"/>
      <c r="R48" s="244"/>
      <c r="S48" s="244"/>
      <c r="T48" s="244"/>
      <c r="U48" s="244"/>
    </row>
    <row r="49" spans="2:21" ht="12.5">
      <c r="B49" s="145" t="str">
        <f t="shared" si="0"/>
        <v/>
      </c>
      <c r="C49" s="496">
        <f>IF(D11="","-",+C48+1)</f>
        <v>2045</v>
      </c>
      <c r="D49" s="509">
        <f>IF(F48+SUM(E$17:E48)=D$10,F48,D$10-SUM(E$17:E48))</f>
        <v>795907.10540431435</v>
      </c>
      <c r="E49" s="510">
        <f t="shared" si="22"/>
        <v>218494.2106060606</v>
      </c>
      <c r="F49" s="511">
        <f t="shared" si="23"/>
        <v>577412.89479825378</v>
      </c>
      <c r="G49" s="512">
        <f t="shared" si="24"/>
        <v>297294.47030225908</v>
      </c>
      <c r="H49" s="478">
        <f t="shared" si="25"/>
        <v>297294.47030225908</v>
      </c>
      <c r="I49" s="501">
        <f t="shared" si="6"/>
        <v>0</v>
      </c>
      <c r="J49" s="501"/>
      <c r="K49" s="513"/>
      <c r="L49" s="505">
        <f t="shared" si="26"/>
        <v>0</v>
      </c>
      <c r="M49" s="513"/>
      <c r="N49" s="505">
        <f t="shared" si="4"/>
        <v>0</v>
      </c>
      <c r="O49" s="505">
        <f t="shared" si="5"/>
        <v>0</v>
      </c>
      <c r="P49" s="279"/>
      <c r="R49" s="244"/>
      <c r="S49" s="244"/>
      <c r="T49" s="244"/>
      <c r="U49" s="244"/>
    </row>
    <row r="50" spans="2:21" ht="12.5">
      <c r="B50" s="145" t="str">
        <f t="shared" si="0"/>
        <v/>
      </c>
      <c r="C50" s="496">
        <f>IF(D11="","-",+C49+1)</f>
        <v>2046</v>
      </c>
      <c r="D50" s="509">
        <f>IF(F49+SUM(E$17:E49)=D$10,F49,D$10-SUM(E$17:E49))</f>
        <v>577412.89479825378</v>
      </c>
      <c r="E50" s="510">
        <f t="shared" si="22"/>
        <v>218494.2106060606</v>
      </c>
      <c r="F50" s="511">
        <f t="shared" si="23"/>
        <v>358918.68419219321</v>
      </c>
      <c r="G50" s="512">
        <f t="shared" si="24"/>
        <v>272220.34258936794</v>
      </c>
      <c r="H50" s="478">
        <f t="shared" si="25"/>
        <v>272220.34258936794</v>
      </c>
      <c r="I50" s="501">
        <f t="shared" si="6"/>
        <v>0</v>
      </c>
      <c r="J50" s="501"/>
      <c r="K50" s="513"/>
      <c r="L50" s="505">
        <f t="shared" si="26"/>
        <v>0</v>
      </c>
      <c r="M50" s="513"/>
      <c r="N50" s="505">
        <f t="shared" si="4"/>
        <v>0</v>
      </c>
      <c r="O50" s="505">
        <f t="shared" si="5"/>
        <v>0</v>
      </c>
      <c r="P50" s="279"/>
      <c r="R50" s="244"/>
      <c r="S50" s="244"/>
      <c r="T50" s="244"/>
      <c r="U50" s="244"/>
    </row>
    <row r="51" spans="2:21" ht="12.5">
      <c r="B51" s="145" t="str">
        <f t="shared" si="0"/>
        <v/>
      </c>
      <c r="C51" s="496">
        <f>IF(D11="","-",+C50+1)</f>
        <v>2047</v>
      </c>
      <c r="D51" s="509">
        <f>IF(F50+SUM(E$17:E50)=D$10,F50,D$10-SUM(E$17:E50))</f>
        <v>358918.68419219321</v>
      </c>
      <c r="E51" s="510">
        <f t="shared" si="22"/>
        <v>218494.2106060606</v>
      </c>
      <c r="F51" s="511">
        <f t="shared" si="23"/>
        <v>140424.4735861326</v>
      </c>
      <c r="G51" s="512">
        <f t="shared" si="24"/>
        <v>247146.21487647676</v>
      </c>
      <c r="H51" s="478">
        <f t="shared" si="25"/>
        <v>247146.21487647676</v>
      </c>
      <c r="I51" s="501">
        <f t="shared" si="6"/>
        <v>0</v>
      </c>
      <c r="J51" s="501"/>
      <c r="K51" s="513"/>
      <c r="L51" s="505">
        <f t="shared" si="26"/>
        <v>0</v>
      </c>
      <c r="M51" s="513"/>
      <c r="N51" s="505">
        <f t="shared" si="4"/>
        <v>0</v>
      </c>
      <c r="O51" s="505">
        <f t="shared" si="5"/>
        <v>0</v>
      </c>
      <c r="P51" s="279"/>
      <c r="R51" s="244"/>
      <c r="S51" s="244"/>
      <c r="T51" s="244"/>
      <c r="U51" s="244"/>
    </row>
    <row r="52" spans="2:21" ht="12.5">
      <c r="B52" s="145" t="str">
        <f t="shared" si="0"/>
        <v/>
      </c>
      <c r="C52" s="496">
        <f>IF(D11="","-",+C51+1)</f>
        <v>2048</v>
      </c>
      <c r="D52" s="509">
        <f>IF(F51+SUM(E$17:E51)=D$10,F51,D$10-SUM(E$17:E51))</f>
        <v>140424.4735861326</v>
      </c>
      <c r="E52" s="510">
        <f t="shared" si="22"/>
        <v>140424.4735861326</v>
      </c>
      <c r="F52" s="511">
        <f t="shared" si="23"/>
        <v>0</v>
      </c>
      <c r="G52" s="512">
        <f t="shared" si="24"/>
        <v>148481.94379311788</v>
      </c>
      <c r="H52" s="478">
        <f t="shared" si="25"/>
        <v>148481.94379311788</v>
      </c>
      <c r="I52" s="501">
        <f t="shared" si="6"/>
        <v>0</v>
      </c>
      <c r="J52" s="501"/>
      <c r="K52" s="513"/>
      <c r="L52" s="505">
        <f t="shared" si="26"/>
        <v>0</v>
      </c>
      <c r="M52" s="513"/>
      <c r="N52" s="505">
        <f t="shared" si="4"/>
        <v>0</v>
      </c>
      <c r="O52" s="505">
        <f t="shared" si="5"/>
        <v>0</v>
      </c>
      <c r="P52" s="279"/>
      <c r="R52" s="244"/>
      <c r="S52" s="244"/>
      <c r="T52" s="244"/>
      <c r="U52" s="244"/>
    </row>
    <row r="53" spans="2:21" ht="12.5">
      <c r="B53" s="145" t="str">
        <f t="shared" si="0"/>
        <v/>
      </c>
      <c r="C53" s="496">
        <f>IF(D11="","-",+C52+1)</f>
        <v>2049</v>
      </c>
      <c r="D53" s="509">
        <f>IF(F52+SUM(E$17:E52)=D$10,F52,D$10-SUM(E$17:E52))</f>
        <v>0</v>
      </c>
      <c r="E53" s="510">
        <f t="shared" si="22"/>
        <v>0</v>
      </c>
      <c r="F53" s="511">
        <f t="shared" si="23"/>
        <v>0</v>
      </c>
      <c r="G53" s="512">
        <f t="shared" si="24"/>
        <v>0</v>
      </c>
      <c r="H53" s="478">
        <f t="shared" si="25"/>
        <v>0</v>
      </c>
      <c r="I53" s="501">
        <f t="shared" si="6"/>
        <v>0</v>
      </c>
      <c r="J53" s="501"/>
      <c r="K53" s="513"/>
      <c r="L53" s="505">
        <f t="shared" si="26"/>
        <v>0</v>
      </c>
      <c r="M53" s="513"/>
      <c r="N53" s="505">
        <f t="shared" si="4"/>
        <v>0</v>
      </c>
      <c r="O53" s="505">
        <f t="shared" si="5"/>
        <v>0</v>
      </c>
      <c r="P53" s="279"/>
      <c r="R53" s="244"/>
      <c r="S53" s="244"/>
      <c r="T53" s="244"/>
      <c r="U53" s="244"/>
    </row>
    <row r="54" spans="2:21" ht="12.5">
      <c r="B54" s="145" t="str">
        <f t="shared" si="0"/>
        <v/>
      </c>
      <c r="C54" s="496">
        <f>IF(D11="","-",+C53+1)</f>
        <v>2050</v>
      </c>
      <c r="D54" s="509">
        <f>IF(F53+SUM(E$17:E53)=D$10,F53,D$10-SUM(E$17:E53))</f>
        <v>0</v>
      </c>
      <c r="E54" s="510">
        <f t="shared" si="22"/>
        <v>0</v>
      </c>
      <c r="F54" s="511">
        <f t="shared" si="23"/>
        <v>0</v>
      </c>
      <c r="G54" s="512">
        <f t="shared" si="24"/>
        <v>0</v>
      </c>
      <c r="H54" s="478">
        <f t="shared" si="25"/>
        <v>0</v>
      </c>
      <c r="I54" s="501">
        <f t="shared" si="6"/>
        <v>0</v>
      </c>
      <c r="J54" s="501"/>
      <c r="K54" s="513"/>
      <c r="L54" s="505">
        <f t="shared" si="26"/>
        <v>0</v>
      </c>
      <c r="M54" s="513"/>
      <c r="N54" s="505">
        <f t="shared" si="4"/>
        <v>0</v>
      </c>
      <c r="O54" s="505">
        <f t="shared" si="5"/>
        <v>0</v>
      </c>
      <c r="P54" s="279"/>
      <c r="R54" s="244"/>
      <c r="S54" s="244"/>
      <c r="T54" s="244"/>
      <c r="U54" s="244"/>
    </row>
    <row r="55" spans="2:21" ht="12.5">
      <c r="B55" s="145" t="str">
        <f t="shared" si="0"/>
        <v/>
      </c>
      <c r="C55" s="496">
        <f>IF(D11="","-",+C54+1)</f>
        <v>2051</v>
      </c>
      <c r="D55" s="509">
        <f>IF(F54+SUM(E$17:E54)=D$10,F54,D$10-SUM(E$17:E54))</f>
        <v>0</v>
      </c>
      <c r="E55" s="510">
        <f t="shared" si="22"/>
        <v>0</v>
      </c>
      <c r="F55" s="511">
        <f t="shared" si="23"/>
        <v>0</v>
      </c>
      <c r="G55" s="512">
        <f t="shared" si="24"/>
        <v>0</v>
      </c>
      <c r="H55" s="478">
        <f t="shared" si="25"/>
        <v>0</v>
      </c>
      <c r="I55" s="501">
        <f t="shared" si="6"/>
        <v>0</v>
      </c>
      <c r="J55" s="501"/>
      <c r="K55" s="513"/>
      <c r="L55" s="505">
        <f t="shared" si="26"/>
        <v>0</v>
      </c>
      <c r="M55" s="513"/>
      <c r="N55" s="505">
        <f t="shared" si="4"/>
        <v>0</v>
      </c>
      <c r="O55" s="505">
        <f t="shared" si="5"/>
        <v>0</v>
      </c>
      <c r="P55" s="279"/>
      <c r="R55" s="244"/>
      <c r="S55" s="244"/>
      <c r="T55" s="244"/>
      <c r="U55" s="244"/>
    </row>
    <row r="56" spans="2:21" ht="12.5">
      <c r="B56" s="145" t="str">
        <f t="shared" si="0"/>
        <v/>
      </c>
      <c r="C56" s="496">
        <f>IF(D11="","-",+C55+1)</f>
        <v>2052</v>
      </c>
      <c r="D56" s="509">
        <f>IF(F55+SUM(E$17:E55)=D$10,F55,D$10-SUM(E$17:E55))</f>
        <v>0</v>
      </c>
      <c r="E56" s="510">
        <f t="shared" si="22"/>
        <v>0</v>
      </c>
      <c r="F56" s="511">
        <f t="shared" si="23"/>
        <v>0</v>
      </c>
      <c r="G56" s="512">
        <f t="shared" si="24"/>
        <v>0</v>
      </c>
      <c r="H56" s="478">
        <f t="shared" si="25"/>
        <v>0</v>
      </c>
      <c r="I56" s="501">
        <f t="shared" si="6"/>
        <v>0</v>
      </c>
      <c r="J56" s="501"/>
      <c r="K56" s="513"/>
      <c r="L56" s="505">
        <f t="shared" si="26"/>
        <v>0</v>
      </c>
      <c r="M56" s="513"/>
      <c r="N56" s="505">
        <f t="shared" si="4"/>
        <v>0</v>
      </c>
      <c r="O56" s="505">
        <f t="shared" si="5"/>
        <v>0</v>
      </c>
      <c r="P56" s="279"/>
      <c r="R56" s="244"/>
      <c r="S56" s="244"/>
      <c r="T56" s="244"/>
      <c r="U56" s="244"/>
    </row>
    <row r="57" spans="2:21" ht="12.5">
      <c r="B57" s="145" t="str">
        <f t="shared" si="0"/>
        <v/>
      </c>
      <c r="C57" s="496">
        <f>IF(D11="","-",+C56+1)</f>
        <v>2053</v>
      </c>
      <c r="D57" s="509">
        <f>IF(F56+SUM(E$17:E56)=D$10,F56,D$10-SUM(E$17:E56))</f>
        <v>0</v>
      </c>
      <c r="E57" s="510">
        <f t="shared" si="22"/>
        <v>0</v>
      </c>
      <c r="F57" s="511">
        <f t="shared" si="23"/>
        <v>0</v>
      </c>
      <c r="G57" s="512">
        <f t="shared" si="24"/>
        <v>0</v>
      </c>
      <c r="H57" s="478">
        <f t="shared" si="25"/>
        <v>0</v>
      </c>
      <c r="I57" s="501">
        <f t="shared" si="6"/>
        <v>0</v>
      </c>
      <c r="J57" s="501"/>
      <c r="K57" s="513"/>
      <c r="L57" s="505">
        <f t="shared" si="26"/>
        <v>0</v>
      </c>
      <c r="M57" s="513"/>
      <c r="N57" s="505">
        <f t="shared" si="4"/>
        <v>0</v>
      </c>
      <c r="O57" s="505">
        <f t="shared" si="5"/>
        <v>0</v>
      </c>
      <c r="P57" s="279"/>
      <c r="R57" s="244"/>
      <c r="S57" s="244"/>
      <c r="T57" s="244"/>
      <c r="U57" s="244"/>
    </row>
    <row r="58" spans="2:21" ht="12.5">
      <c r="B58" s="145" t="str">
        <f t="shared" si="0"/>
        <v/>
      </c>
      <c r="C58" s="496">
        <f>IF(D11="","-",+C57+1)</f>
        <v>2054</v>
      </c>
      <c r="D58" s="509">
        <f>IF(F57+SUM(E$17:E57)=D$10,F57,D$10-SUM(E$17:E57))</f>
        <v>0</v>
      </c>
      <c r="E58" s="510">
        <f t="shared" si="22"/>
        <v>0</v>
      </c>
      <c r="F58" s="511">
        <f t="shared" si="23"/>
        <v>0</v>
      </c>
      <c r="G58" s="512">
        <f t="shared" si="24"/>
        <v>0</v>
      </c>
      <c r="H58" s="478">
        <f t="shared" si="25"/>
        <v>0</v>
      </c>
      <c r="I58" s="501">
        <f t="shared" si="6"/>
        <v>0</v>
      </c>
      <c r="J58" s="501"/>
      <c r="K58" s="513"/>
      <c r="L58" s="505">
        <f t="shared" si="26"/>
        <v>0</v>
      </c>
      <c r="M58" s="513"/>
      <c r="N58" s="505">
        <f t="shared" si="4"/>
        <v>0</v>
      </c>
      <c r="O58" s="505">
        <f t="shared" si="5"/>
        <v>0</v>
      </c>
      <c r="P58" s="279"/>
      <c r="R58" s="244"/>
      <c r="S58" s="244"/>
      <c r="T58" s="244"/>
      <c r="U58" s="244"/>
    </row>
    <row r="59" spans="2:21" ht="12.5">
      <c r="B59" s="145" t="str">
        <f t="shared" si="0"/>
        <v/>
      </c>
      <c r="C59" s="496">
        <f>IF(D11="","-",+C58+1)</f>
        <v>2055</v>
      </c>
      <c r="D59" s="509">
        <f>IF(F58+SUM(E$17:E58)=D$10,F58,D$10-SUM(E$17:E58))</f>
        <v>0</v>
      </c>
      <c r="E59" s="510">
        <f t="shared" si="22"/>
        <v>0</v>
      </c>
      <c r="F59" s="511">
        <f t="shared" si="23"/>
        <v>0</v>
      </c>
      <c r="G59" s="512">
        <f t="shared" si="24"/>
        <v>0</v>
      </c>
      <c r="H59" s="478">
        <f t="shared" si="25"/>
        <v>0</v>
      </c>
      <c r="I59" s="501">
        <f t="shared" si="6"/>
        <v>0</v>
      </c>
      <c r="J59" s="501"/>
      <c r="K59" s="513"/>
      <c r="L59" s="505">
        <f t="shared" si="26"/>
        <v>0</v>
      </c>
      <c r="M59" s="513"/>
      <c r="N59" s="505">
        <f t="shared" si="4"/>
        <v>0</v>
      </c>
      <c r="O59" s="505">
        <f t="shared" si="5"/>
        <v>0</v>
      </c>
      <c r="P59" s="279"/>
      <c r="R59" s="244"/>
      <c r="S59" s="244"/>
      <c r="T59" s="244"/>
      <c r="U59" s="244"/>
    </row>
    <row r="60" spans="2:21" ht="12.5">
      <c r="B60" s="145" t="str">
        <f t="shared" si="0"/>
        <v/>
      </c>
      <c r="C60" s="496">
        <f>IF(D11="","-",+C59+1)</f>
        <v>2056</v>
      </c>
      <c r="D60" s="509">
        <f>IF(F59+SUM(E$17:E59)=D$10,F59,D$10-SUM(E$17:E59))</f>
        <v>0</v>
      </c>
      <c r="E60" s="510">
        <f t="shared" si="22"/>
        <v>0</v>
      </c>
      <c r="F60" s="511">
        <f t="shared" si="23"/>
        <v>0</v>
      </c>
      <c r="G60" s="512">
        <f t="shared" si="24"/>
        <v>0</v>
      </c>
      <c r="H60" s="478">
        <f t="shared" si="25"/>
        <v>0</v>
      </c>
      <c r="I60" s="501">
        <f t="shared" si="6"/>
        <v>0</v>
      </c>
      <c r="J60" s="501"/>
      <c r="K60" s="513"/>
      <c r="L60" s="505">
        <f t="shared" si="26"/>
        <v>0</v>
      </c>
      <c r="M60" s="513"/>
      <c r="N60" s="505">
        <f t="shared" si="4"/>
        <v>0</v>
      </c>
      <c r="O60" s="505">
        <f t="shared" si="5"/>
        <v>0</v>
      </c>
      <c r="P60" s="279"/>
      <c r="R60" s="244"/>
      <c r="S60" s="244"/>
      <c r="T60" s="244"/>
      <c r="U60" s="244"/>
    </row>
    <row r="61" spans="2:21" ht="12.5">
      <c r="B61" s="145" t="str">
        <f t="shared" si="0"/>
        <v/>
      </c>
      <c r="C61" s="496">
        <f>IF(D11="","-",+C60+1)</f>
        <v>2057</v>
      </c>
      <c r="D61" s="509">
        <f>IF(F60+SUM(E$17:E60)=D$10,F60,D$10-SUM(E$17:E60))</f>
        <v>0</v>
      </c>
      <c r="E61" s="510">
        <f t="shared" si="22"/>
        <v>0</v>
      </c>
      <c r="F61" s="511">
        <f t="shared" si="23"/>
        <v>0</v>
      </c>
      <c r="G61" s="512">
        <f t="shared" si="24"/>
        <v>0</v>
      </c>
      <c r="H61" s="478">
        <f t="shared" si="25"/>
        <v>0</v>
      </c>
      <c r="I61" s="501">
        <f t="shared" si="6"/>
        <v>0</v>
      </c>
      <c r="J61" s="501"/>
      <c r="K61" s="513"/>
      <c r="L61" s="505">
        <f t="shared" si="26"/>
        <v>0</v>
      </c>
      <c r="M61" s="513"/>
      <c r="N61" s="505">
        <f t="shared" si="4"/>
        <v>0</v>
      </c>
      <c r="O61" s="505">
        <f t="shared" si="5"/>
        <v>0</v>
      </c>
      <c r="P61" s="279"/>
      <c r="R61" s="244"/>
      <c r="S61" s="244"/>
      <c r="T61" s="244"/>
      <c r="U61" s="244"/>
    </row>
    <row r="62" spans="2:21" ht="12.5">
      <c r="B62" s="145" t="str">
        <f t="shared" si="0"/>
        <v/>
      </c>
      <c r="C62" s="496">
        <f>IF(D11="","-",+C61+1)</f>
        <v>2058</v>
      </c>
      <c r="D62" s="509">
        <f>IF(F61+SUM(E$17:E61)=D$10,F61,D$10-SUM(E$17:E61))</f>
        <v>0</v>
      </c>
      <c r="E62" s="510">
        <f t="shared" si="22"/>
        <v>0</v>
      </c>
      <c r="F62" s="511">
        <f t="shared" si="23"/>
        <v>0</v>
      </c>
      <c r="G62" s="512">
        <f t="shared" si="24"/>
        <v>0</v>
      </c>
      <c r="H62" s="478">
        <f t="shared" si="25"/>
        <v>0</v>
      </c>
      <c r="I62" s="501">
        <f t="shared" si="6"/>
        <v>0</v>
      </c>
      <c r="J62" s="501"/>
      <c r="K62" s="513"/>
      <c r="L62" s="505">
        <f t="shared" si="26"/>
        <v>0</v>
      </c>
      <c r="M62" s="513"/>
      <c r="N62" s="505">
        <f t="shared" si="4"/>
        <v>0</v>
      </c>
      <c r="O62" s="505">
        <f t="shared" si="5"/>
        <v>0</v>
      </c>
      <c r="P62" s="279"/>
      <c r="R62" s="244"/>
      <c r="S62" s="244"/>
      <c r="T62" s="244"/>
      <c r="U62" s="244"/>
    </row>
    <row r="63" spans="2:21" ht="12.5">
      <c r="B63" s="145" t="str">
        <f t="shared" si="0"/>
        <v/>
      </c>
      <c r="C63" s="496">
        <f>IF(D11="","-",+C62+1)</f>
        <v>2059</v>
      </c>
      <c r="D63" s="509">
        <f>IF(F62+SUM(E$17:E62)=D$10,F62,D$10-SUM(E$17:E62))</f>
        <v>0</v>
      </c>
      <c r="E63" s="510">
        <f t="shared" si="22"/>
        <v>0</v>
      </c>
      <c r="F63" s="511">
        <f t="shared" si="23"/>
        <v>0</v>
      </c>
      <c r="G63" s="512">
        <f t="shared" si="24"/>
        <v>0</v>
      </c>
      <c r="H63" s="478">
        <f t="shared" si="25"/>
        <v>0</v>
      </c>
      <c r="I63" s="501">
        <f t="shared" si="6"/>
        <v>0</v>
      </c>
      <c r="J63" s="501"/>
      <c r="K63" s="513"/>
      <c r="L63" s="505">
        <f t="shared" si="26"/>
        <v>0</v>
      </c>
      <c r="M63" s="513"/>
      <c r="N63" s="505">
        <f t="shared" si="4"/>
        <v>0</v>
      </c>
      <c r="O63" s="505">
        <f t="shared" si="5"/>
        <v>0</v>
      </c>
      <c r="P63" s="279"/>
      <c r="R63" s="244"/>
      <c r="S63" s="244"/>
      <c r="T63" s="244"/>
      <c r="U63" s="244"/>
    </row>
    <row r="64" spans="2:21" ht="12.5">
      <c r="B64" s="145" t="str">
        <f>IF(D64=F63,"","IU")</f>
        <v/>
      </c>
      <c r="C64" s="496">
        <f>IF(D11="","-",+C63+1)</f>
        <v>2060</v>
      </c>
      <c r="D64" s="509">
        <f>IF(F63+SUM(E$17:E63)=D$10,F63,D$10-SUM(E$17:E63))</f>
        <v>0</v>
      </c>
      <c r="E64" s="510">
        <f t="shared" si="22"/>
        <v>0</v>
      </c>
      <c r="F64" s="511">
        <f t="shared" si="23"/>
        <v>0</v>
      </c>
      <c r="G64" s="512">
        <f t="shared" si="24"/>
        <v>0</v>
      </c>
      <c r="H64" s="478">
        <f t="shared" si="25"/>
        <v>0</v>
      </c>
      <c r="I64" s="501">
        <f t="shared" si="6"/>
        <v>0</v>
      </c>
      <c r="J64" s="501"/>
      <c r="K64" s="513"/>
      <c r="L64" s="505">
        <f t="shared" si="26"/>
        <v>0</v>
      </c>
      <c r="M64" s="513"/>
      <c r="N64" s="505">
        <f t="shared" si="4"/>
        <v>0</v>
      </c>
      <c r="O64" s="505">
        <f t="shared" si="5"/>
        <v>0</v>
      </c>
      <c r="P64" s="279"/>
      <c r="R64" s="244"/>
      <c r="S64" s="244"/>
      <c r="T64" s="244"/>
      <c r="U64" s="244"/>
    </row>
    <row r="65" spans="2:21" ht="12.5">
      <c r="B65" s="145" t="str">
        <f t="shared" si="0"/>
        <v/>
      </c>
      <c r="C65" s="496">
        <f>IF(D11="","-",+C64+1)</f>
        <v>2061</v>
      </c>
      <c r="D65" s="509">
        <f>IF(F64+SUM(E$17:E64)=D$10,F64,D$10-SUM(E$17:E64))</f>
        <v>0</v>
      </c>
      <c r="E65" s="510">
        <f t="shared" si="22"/>
        <v>0</v>
      </c>
      <c r="F65" s="511">
        <f t="shared" si="23"/>
        <v>0</v>
      </c>
      <c r="G65" s="512">
        <f t="shared" si="24"/>
        <v>0</v>
      </c>
      <c r="H65" s="478">
        <f t="shared" si="25"/>
        <v>0</v>
      </c>
      <c r="I65" s="501">
        <f t="shared" si="6"/>
        <v>0</v>
      </c>
      <c r="J65" s="501"/>
      <c r="K65" s="513"/>
      <c r="L65" s="505">
        <f t="shared" si="26"/>
        <v>0</v>
      </c>
      <c r="M65" s="513"/>
      <c r="N65" s="505">
        <f t="shared" si="4"/>
        <v>0</v>
      </c>
      <c r="O65" s="505">
        <f t="shared" si="5"/>
        <v>0</v>
      </c>
      <c r="P65" s="279"/>
      <c r="R65" s="244"/>
      <c r="S65" s="244"/>
      <c r="T65" s="244"/>
      <c r="U65" s="244"/>
    </row>
    <row r="66" spans="2:21" ht="12.5">
      <c r="B66" s="145" t="str">
        <f t="shared" si="0"/>
        <v/>
      </c>
      <c r="C66" s="496">
        <f>IF(D11="","-",+C65+1)</f>
        <v>2062</v>
      </c>
      <c r="D66" s="509">
        <f>IF(F65+SUM(E$17:E65)=D$10,F65,D$10-SUM(E$17:E65))</f>
        <v>0</v>
      </c>
      <c r="E66" s="510">
        <f t="shared" si="22"/>
        <v>0</v>
      </c>
      <c r="F66" s="511">
        <f t="shared" si="23"/>
        <v>0</v>
      </c>
      <c r="G66" s="512">
        <f t="shared" si="24"/>
        <v>0</v>
      </c>
      <c r="H66" s="478">
        <f t="shared" si="25"/>
        <v>0</v>
      </c>
      <c r="I66" s="501">
        <f t="shared" si="6"/>
        <v>0</v>
      </c>
      <c r="J66" s="501"/>
      <c r="K66" s="513"/>
      <c r="L66" s="505">
        <f t="shared" si="26"/>
        <v>0</v>
      </c>
      <c r="M66" s="513"/>
      <c r="N66" s="505">
        <f t="shared" si="4"/>
        <v>0</v>
      </c>
      <c r="O66" s="505">
        <f t="shared" si="5"/>
        <v>0</v>
      </c>
      <c r="P66" s="279"/>
      <c r="R66" s="244"/>
      <c r="S66" s="244"/>
      <c r="T66" s="244"/>
      <c r="U66" s="244"/>
    </row>
    <row r="67" spans="2:21" ht="12.5">
      <c r="B67" s="145" t="str">
        <f t="shared" si="0"/>
        <v/>
      </c>
      <c r="C67" s="496">
        <f>IF(D11="","-",+C66+1)</f>
        <v>2063</v>
      </c>
      <c r="D67" s="509">
        <f>IF(F66+SUM(E$17:E66)=D$10,F66,D$10-SUM(E$17:E66))</f>
        <v>0</v>
      </c>
      <c r="E67" s="510">
        <f t="shared" si="22"/>
        <v>0</v>
      </c>
      <c r="F67" s="511">
        <f t="shared" si="23"/>
        <v>0</v>
      </c>
      <c r="G67" s="512">
        <f t="shared" si="24"/>
        <v>0</v>
      </c>
      <c r="H67" s="478">
        <f t="shared" si="25"/>
        <v>0</v>
      </c>
      <c r="I67" s="501">
        <f t="shared" si="6"/>
        <v>0</v>
      </c>
      <c r="J67" s="501"/>
      <c r="K67" s="513"/>
      <c r="L67" s="505">
        <f t="shared" si="26"/>
        <v>0</v>
      </c>
      <c r="M67" s="513"/>
      <c r="N67" s="505">
        <f t="shared" si="4"/>
        <v>0</v>
      </c>
      <c r="O67" s="505">
        <f t="shared" si="5"/>
        <v>0</v>
      </c>
      <c r="P67" s="279"/>
      <c r="R67" s="244"/>
      <c r="S67" s="244"/>
      <c r="T67" s="244"/>
      <c r="U67" s="244"/>
    </row>
    <row r="68" spans="2:21" ht="12.5">
      <c r="B68" s="145" t="str">
        <f t="shared" si="0"/>
        <v/>
      </c>
      <c r="C68" s="496">
        <f>IF(D11="","-",+C67+1)</f>
        <v>2064</v>
      </c>
      <c r="D68" s="509">
        <f>IF(F67+SUM(E$17:E67)=D$10,F67,D$10-SUM(E$17:E67))</f>
        <v>0</v>
      </c>
      <c r="E68" s="510">
        <f t="shared" si="22"/>
        <v>0</v>
      </c>
      <c r="F68" s="511">
        <f t="shared" si="23"/>
        <v>0</v>
      </c>
      <c r="G68" s="512">
        <f t="shared" si="24"/>
        <v>0</v>
      </c>
      <c r="H68" s="478">
        <f t="shared" si="25"/>
        <v>0</v>
      </c>
      <c r="I68" s="501">
        <f t="shared" si="6"/>
        <v>0</v>
      </c>
      <c r="J68" s="501"/>
      <c r="K68" s="513"/>
      <c r="L68" s="505">
        <f t="shared" si="26"/>
        <v>0</v>
      </c>
      <c r="M68" s="513"/>
      <c r="N68" s="505">
        <f t="shared" si="4"/>
        <v>0</v>
      </c>
      <c r="O68" s="505">
        <f t="shared" si="5"/>
        <v>0</v>
      </c>
      <c r="P68" s="279"/>
      <c r="R68" s="244"/>
      <c r="S68" s="244"/>
      <c r="T68" s="244"/>
      <c r="U68" s="244"/>
    </row>
    <row r="69" spans="2:21" ht="12.5">
      <c r="B69" s="145" t="str">
        <f t="shared" si="0"/>
        <v/>
      </c>
      <c r="C69" s="496">
        <f>IF(D11="","-",+C68+1)</f>
        <v>2065</v>
      </c>
      <c r="D69" s="509">
        <f>IF(F68+SUM(E$17:E68)=D$10,F68,D$10-SUM(E$17:E68))</f>
        <v>0</v>
      </c>
      <c r="E69" s="510">
        <f t="shared" si="22"/>
        <v>0</v>
      </c>
      <c r="F69" s="511">
        <f t="shared" si="23"/>
        <v>0</v>
      </c>
      <c r="G69" s="512">
        <f t="shared" si="24"/>
        <v>0</v>
      </c>
      <c r="H69" s="478">
        <f t="shared" si="25"/>
        <v>0</v>
      </c>
      <c r="I69" s="501">
        <f t="shared" si="6"/>
        <v>0</v>
      </c>
      <c r="J69" s="501"/>
      <c r="K69" s="513"/>
      <c r="L69" s="505">
        <f t="shared" si="26"/>
        <v>0</v>
      </c>
      <c r="M69" s="513"/>
      <c r="N69" s="505">
        <f t="shared" si="4"/>
        <v>0</v>
      </c>
      <c r="O69" s="505">
        <f t="shared" si="5"/>
        <v>0</v>
      </c>
      <c r="P69" s="279"/>
      <c r="R69" s="244"/>
      <c r="S69" s="244"/>
      <c r="T69" s="244"/>
      <c r="U69" s="244"/>
    </row>
    <row r="70" spans="2:21" ht="12.5">
      <c r="B70" s="145" t="str">
        <f t="shared" si="0"/>
        <v/>
      </c>
      <c r="C70" s="496">
        <f>IF(D11="","-",+C69+1)</f>
        <v>2066</v>
      </c>
      <c r="D70" s="509">
        <f>IF(F69+SUM(E$17:E69)=D$10,F69,D$10-SUM(E$17:E69))</f>
        <v>0</v>
      </c>
      <c r="E70" s="510">
        <f t="shared" si="22"/>
        <v>0</v>
      </c>
      <c r="F70" s="511">
        <f t="shared" si="23"/>
        <v>0</v>
      </c>
      <c r="G70" s="512">
        <f t="shared" si="24"/>
        <v>0</v>
      </c>
      <c r="H70" s="478">
        <f t="shared" si="25"/>
        <v>0</v>
      </c>
      <c r="I70" s="501">
        <f t="shared" si="6"/>
        <v>0</v>
      </c>
      <c r="J70" s="501"/>
      <c r="K70" s="513"/>
      <c r="L70" s="505">
        <f t="shared" si="26"/>
        <v>0</v>
      </c>
      <c r="M70" s="513"/>
      <c r="N70" s="505">
        <f t="shared" si="4"/>
        <v>0</v>
      </c>
      <c r="O70" s="505">
        <f t="shared" si="5"/>
        <v>0</v>
      </c>
      <c r="P70" s="279"/>
      <c r="R70" s="244"/>
      <c r="S70" s="244"/>
      <c r="T70" s="244"/>
      <c r="U70" s="244"/>
    </row>
    <row r="71" spans="2:21" ht="12.5">
      <c r="B71" s="145" t="str">
        <f t="shared" si="0"/>
        <v/>
      </c>
      <c r="C71" s="496">
        <f>IF(D11="","-",+C70+1)</f>
        <v>2067</v>
      </c>
      <c r="D71" s="509">
        <f>IF(F70+SUM(E$17:E70)=D$10,F70,D$10-SUM(E$17:E70))</f>
        <v>0</v>
      </c>
      <c r="E71" s="510">
        <f t="shared" si="22"/>
        <v>0</v>
      </c>
      <c r="F71" s="511">
        <f t="shared" si="23"/>
        <v>0</v>
      </c>
      <c r="G71" s="512">
        <f t="shared" si="24"/>
        <v>0</v>
      </c>
      <c r="H71" s="478">
        <f t="shared" si="25"/>
        <v>0</v>
      </c>
      <c r="I71" s="501">
        <f t="shared" si="6"/>
        <v>0</v>
      </c>
      <c r="J71" s="501"/>
      <c r="K71" s="513"/>
      <c r="L71" s="505">
        <f t="shared" si="26"/>
        <v>0</v>
      </c>
      <c r="M71" s="513"/>
      <c r="N71" s="505">
        <f t="shared" si="4"/>
        <v>0</v>
      </c>
      <c r="O71" s="505">
        <f t="shared" si="5"/>
        <v>0</v>
      </c>
      <c r="P71" s="279"/>
      <c r="R71" s="244"/>
      <c r="S71" s="244"/>
      <c r="T71" s="244"/>
      <c r="U71" s="244"/>
    </row>
    <row r="72" spans="2:21" ht="12.5">
      <c r="B72" s="145" t="str">
        <f t="shared" si="0"/>
        <v/>
      </c>
      <c r="C72" s="496">
        <f>IF(D11="","-",+C71+1)</f>
        <v>2068</v>
      </c>
      <c r="D72" s="509">
        <f>IF(F71+SUM(E$17:E71)=D$10,F71,D$10-SUM(E$17:E71))</f>
        <v>0</v>
      </c>
      <c r="E72" s="510">
        <f t="shared" si="22"/>
        <v>0</v>
      </c>
      <c r="F72" s="511">
        <f t="shared" si="23"/>
        <v>0</v>
      </c>
      <c r="G72" s="512">
        <f t="shared" si="24"/>
        <v>0</v>
      </c>
      <c r="H72" s="478">
        <f t="shared" si="25"/>
        <v>0</v>
      </c>
      <c r="I72" s="501">
        <f t="shared" si="6"/>
        <v>0</v>
      </c>
      <c r="J72" s="501"/>
      <c r="K72" s="513"/>
      <c r="L72" s="505">
        <f t="shared" si="26"/>
        <v>0</v>
      </c>
      <c r="M72" s="513"/>
      <c r="N72" s="505">
        <f t="shared" si="4"/>
        <v>0</v>
      </c>
      <c r="O72" s="505">
        <f t="shared" si="5"/>
        <v>0</v>
      </c>
      <c r="P72" s="279"/>
      <c r="R72" s="244"/>
      <c r="S72" s="244"/>
      <c r="T72" s="244"/>
      <c r="U72" s="244"/>
    </row>
    <row r="73" spans="2:21" ht="13" thickBot="1">
      <c r="B73" s="145" t="str">
        <f t="shared" si="0"/>
        <v/>
      </c>
      <c r="C73" s="525">
        <f>IF(D11="","-",+C72+1)</f>
        <v>2069</v>
      </c>
      <c r="D73" s="526">
        <f>IF(F72+SUM(E$17:E72)=D$10,F72,D$10-SUM(E$17:E72))</f>
        <v>0</v>
      </c>
      <c r="E73" s="527">
        <f t="shared" si="22"/>
        <v>0</v>
      </c>
      <c r="F73" s="528">
        <f t="shared" si="23"/>
        <v>0</v>
      </c>
      <c r="G73" s="528">
        <f t="shared" si="24"/>
        <v>0</v>
      </c>
      <c r="H73" s="528">
        <f t="shared" si="25"/>
        <v>0</v>
      </c>
      <c r="I73" s="530">
        <f t="shared" si="6"/>
        <v>0</v>
      </c>
      <c r="J73" s="501"/>
      <c r="K73" s="531"/>
      <c r="L73" s="532">
        <f t="shared" si="26"/>
        <v>0</v>
      </c>
      <c r="M73" s="531"/>
      <c r="N73" s="532">
        <f t="shared" si="4"/>
        <v>0</v>
      </c>
      <c r="O73" s="532">
        <f t="shared" si="5"/>
        <v>0</v>
      </c>
      <c r="P73" s="279"/>
      <c r="R73" s="244"/>
      <c r="S73" s="244"/>
      <c r="T73" s="244"/>
      <c r="U73" s="244"/>
    </row>
    <row r="74" spans="2:21" ht="12.5">
      <c r="C74" s="350" t="s">
        <v>75</v>
      </c>
      <c r="D74" s="295"/>
      <c r="E74" s="295">
        <f>SUM(E17:E73)</f>
        <v>7210308.950000003</v>
      </c>
      <c r="F74" s="295"/>
      <c r="G74" s="295">
        <f>SUM(G17:G73)</f>
        <v>21769446.404199149</v>
      </c>
      <c r="H74" s="295">
        <f>SUM(H17:H73)</f>
        <v>21769446.404199149</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10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854336.96728904522</v>
      </c>
      <c r="N88" s="545">
        <f>IF(J93&lt;D11,0,VLOOKUP(J93,C17:O73,11))</f>
        <v>854336.96728904522</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956063.14911265764</v>
      </c>
      <c r="N89" s="549">
        <f>IF(J93&lt;D11,0,VLOOKUP(J93,C100:P155,7))</f>
        <v>956063.14911265764</v>
      </c>
      <c r="O89" s="550">
        <f>+N89-M89</f>
        <v>0</v>
      </c>
      <c r="P89" s="244"/>
      <c r="Q89" s="244"/>
      <c r="R89" s="244"/>
      <c r="S89" s="244"/>
      <c r="T89" s="244"/>
      <c r="U89" s="244"/>
    </row>
    <row r="90" spans="1:21" ht="13.5" thickBot="1">
      <c r="C90" s="455" t="s">
        <v>82</v>
      </c>
      <c r="D90" s="551" t="str">
        <f>+D7</f>
        <v>Wapanucka Customer Connection</v>
      </c>
      <c r="E90" s="244"/>
      <c r="F90" s="244"/>
      <c r="G90" s="244"/>
      <c r="H90" s="244"/>
      <c r="I90" s="326"/>
      <c r="J90" s="326"/>
      <c r="K90" s="552"/>
      <c r="L90" s="553" t="s">
        <v>135</v>
      </c>
      <c r="M90" s="554">
        <f>+M89-M88</f>
        <v>101726.18182361242</v>
      </c>
      <c r="N90" s="554">
        <f>+N89-N88</f>
        <v>101726.18182361242</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TP2012141</v>
      </c>
      <c r="E92" s="559"/>
      <c r="F92" s="559"/>
      <c r="G92" s="559"/>
      <c r="H92" s="559"/>
      <c r="I92" s="559"/>
      <c r="J92" s="559"/>
      <c r="K92" s="561"/>
      <c r="P92" s="469"/>
      <c r="Q92" s="244"/>
      <c r="R92" s="244"/>
      <c r="S92" s="244"/>
      <c r="T92" s="244"/>
      <c r="U92" s="244"/>
    </row>
    <row r="93" spans="1:21" ht="13">
      <c r="C93" s="473" t="s">
        <v>49</v>
      </c>
      <c r="D93" s="623">
        <f>D10</f>
        <v>7210308.9500000002</v>
      </c>
      <c r="E93" s="249" t="s">
        <v>84</v>
      </c>
      <c r="H93" s="409"/>
      <c r="I93" s="409"/>
      <c r="J93" s="472">
        <f>+'OKT.WS.G.BPU.ATRR.True-up'!M16</f>
        <v>2023</v>
      </c>
      <c r="K93" s="468"/>
      <c r="L93" s="295" t="s">
        <v>85</v>
      </c>
      <c r="P93" s="279"/>
      <c r="Q93" s="244"/>
      <c r="R93" s="244"/>
      <c r="S93" s="244"/>
      <c r="T93" s="244"/>
      <c r="U93" s="244"/>
    </row>
    <row r="94" spans="1:21" ht="12.5">
      <c r="C94" s="473" t="s">
        <v>52</v>
      </c>
      <c r="D94" s="562">
        <f>D11</f>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12</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379489.94473684212</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2013</v>
      </c>
      <c r="D100" s="350"/>
      <c r="E100" s="512"/>
      <c r="F100" s="511"/>
      <c r="G100" s="606"/>
      <c r="H100" s="606"/>
      <c r="I100" s="606"/>
      <c r="J100" s="505"/>
      <c r="K100" s="505"/>
      <c r="L100" s="502"/>
      <c r="M100" s="503">
        <f t="shared" ref="M100:M131" si="27">IF(L100&lt;&gt;0,+H100-L100,0)</f>
        <v>0</v>
      </c>
      <c r="N100" s="502"/>
      <c r="O100" s="504">
        <f t="shared" ref="O100:O131" si="28">IF(N100&lt;&gt;0,+I100-N100,0)</f>
        <v>0</v>
      </c>
      <c r="P100" s="504">
        <f t="shared" ref="P100:P131" si="29">+O100-M100</f>
        <v>0</v>
      </c>
      <c r="Q100" s="244"/>
      <c r="R100" s="244"/>
      <c r="S100" s="244"/>
      <c r="T100" s="244"/>
      <c r="U100" s="244"/>
    </row>
    <row r="101" spans="1:21" ht="12.5">
      <c r="C101" s="496">
        <f>IF(D94="","-",+C100+1)</f>
        <v>2014</v>
      </c>
      <c r="D101" s="350"/>
      <c r="E101" s="510"/>
      <c r="F101" s="511"/>
      <c r="G101" s="511"/>
      <c r="H101" s="627"/>
      <c r="I101" s="628"/>
      <c r="J101" s="505"/>
      <c r="K101" s="505"/>
      <c r="L101" s="507"/>
      <c r="M101" s="508">
        <f t="shared" si="27"/>
        <v>0</v>
      </c>
      <c r="N101" s="507"/>
      <c r="O101" s="505">
        <f t="shared" si="28"/>
        <v>0</v>
      </c>
      <c r="P101" s="505">
        <f t="shared" si="29"/>
        <v>0</v>
      </c>
      <c r="Q101" s="244"/>
      <c r="R101" s="244"/>
      <c r="S101" s="244"/>
      <c r="T101" s="244"/>
      <c r="U101" s="244"/>
    </row>
    <row r="102" spans="1:21" ht="12.5">
      <c r="B102" s="145" t="str">
        <f t="shared" ref="B102:B155" si="30">IF(D102=F101,"","IU")</f>
        <v>IU</v>
      </c>
      <c r="C102" s="496">
        <f>IF(D94="","-",+C101+1)</f>
        <v>2015</v>
      </c>
      <c r="D102" s="497">
        <v>7076304.3908220464</v>
      </c>
      <c r="E102" s="499">
        <v>150018.20833333334</v>
      </c>
      <c r="F102" s="506">
        <v>6926286.1824887134</v>
      </c>
      <c r="G102" s="506">
        <v>7001295.2866553795</v>
      </c>
      <c r="H102" s="499">
        <v>929468.41200641857</v>
      </c>
      <c r="I102" s="500">
        <v>929468.41200641857</v>
      </c>
      <c r="J102" s="505">
        <v>0</v>
      </c>
      <c r="K102" s="505"/>
      <c r="L102" s="507">
        <f t="shared" ref="L102:L107" si="31">H102</f>
        <v>929468.41200641857</v>
      </c>
      <c r="M102" s="505">
        <f t="shared" ref="M102:M107" si="32">IF(L102&lt;&gt;0,+H102-L102,0)</f>
        <v>0</v>
      </c>
      <c r="N102" s="507">
        <f t="shared" ref="N102:N107" si="33">I102</f>
        <v>929468.41200641857</v>
      </c>
      <c r="O102" s="505">
        <f t="shared" si="28"/>
        <v>0</v>
      </c>
      <c r="P102" s="505">
        <f t="shared" si="29"/>
        <v>0</v>
      </c>
      <c r="Q102" s="244"/>
      <c r="R102" s="244"/>
      <c r="S102" s="244"/>
      <c r="T102" s="244"/>
      <c r="U102" s="244"/>
    </row>
    <row r="103" spans="1:21" ht="12.5">
      <c r="B103" s="145" t="str">
        <f t="shared" si="30"/>
        <v>IU</v>
      </c>
      <c r="C103" s="496">
        <f>IF(D94="","-",+C102+1)</f>
        <v>2016</v>
      </c>
      <c r="D103" s="497">
        <v>7060290.791666667</v>
      </c>
      <c r="E103" s="499">
        <v>141378.60784313726</v>
      </c>
      <c r="F103" s="506">
        <v>6918912.1838235296</v>
      </c>
      <c r="G103" s="506">
        <v>6989601.4877450988</v>
      </c>
      <c r="H103" s="499">
        <v>898837.94259524392</v>
      </c>
      <c r="I103" s="500">
        <v>898837.94259524392</v>
      </c>
      <c r="J103" s="505">
        <f>+I103-H103</f>
        <v>0</v>
      </c>
      <c r="K103" s="505"/>
      <c r="L103" s="507">
        <f t="shared" si="31"/>
        <v>898837.94259524392</v>
      </c>
      <c r="M103" s="505">
        <f t="shared" si="32"/>
        <v>0</v>
      </c>
      <c r="N103" s="507">
        <f t="shared" si="33"/>
        <v>898837.94259524392</v>
      </c>
      <c r="O103" s="505">
        <f>IF(N103&lt;&gt;0,+I103-N103,0)</f>
        <v>0</v>
      </c>
      <c r="P103" s="505">
        <f>+O103-M103</f>
        <v>0</v>
      </c>
      <c r="Q103" s="244"/>
      <c r="R103" s="244"/>
      <c r="S103" s="244"/>
      <c r="T103" s="244"/>
      <c r="U103" s="244"/>
    </row>
    <row r="104" spans="1:21" ht="12.5">
      <c r="B104" s="145" t="str">
        <f t="shared" si="30"/>
        <v/>
      </c>
      <c r="C104" s="496">
        <f>IF(D94="","-",+C103+1)</f>
        <v>2017</v>
      </c>
      <c r="D104" s="497">
        <v>6918912.1838235296</v>
      </c>
      <c r="E104" s="499">
        <v>180257.72500000001</v>
      </c>
      <c r="F104" s="506">
        <v>6738654.45882353</v>
      </c>
      <c r="G104" s="506">
        <v>6828783.3213235298</v>
      </c>
      <c r="H104" s="499">
        <v>981518.91752081981</v>
      </c>
      <c r="I104" s="500">
        <v>981518.91752081981</v>
      </c>
      <c r="J104" s="505">
        <f t="shared" ref="J104:J155" si="34">+I104-H104</f>
        <v>0</v>
      </c>
      <c r="K104" s="505"/>
      <c r="L104" s="507">
        <f t="shared" si="31"/>
        <v>981518.91752081981</v>
      </c>
      <c r="M104" s="505">
        <f t="shared" si="32"/>
        <v>0</v>
      </c>
      <c r="N104" s="507">
        <f t="shared" si="33"/>
        <v>981518.91752081981</v>
      </c>
      <c r="O104" s="505">
        <f>IF(N104&lt;&gt;0,+I104-N104,0)</f>
        <v>0</v>
      </c>
      <c r="P104" s="505">
        <f>+O104-M104</f>
        <v>0</v>
      </c>
      <c r="Q104" s="244"/>
      <c r="R104" s="244"/>
      <c r="S104" s="244"/>
      <c r="T104" s="244"/>
      <c r="U104" s="244"/>
    </row>
    <row r="105" spans="1:21" ht="12.5">
      <c r="B105" s="145" t="str">
        <f t="shared" si="30"/>
        <v/>
      </c>
      <c r="C105" s="496">
        <f>IF(D94="","-",+C104+1)</f>
        <v>2018</v>
      </c>
      <c r="D105" s="497">
        <v>6738654.45882353</v>
      </c>
      <c r="E105" s="499">
        <v>200286.36111111112</v>
      </c>
      <c r="F105" s="506">
        <v>6538368.097712419</v>
      </c>
      <c r="G105" s="506">
        <v>6638511.278267974</v>
      </c>
      <c r="H105" s="499">
        <v>901063.87001696113</v>
      </c>
      <c r="I105" s="500">
        <v>901063.87001696113</v>
      </c>
      <c r="J105" s="505">
        <f t="shared" si="34"/>
        <v>0</v>
      </c>
      <c r="K105" s="505"/>
      <c r="L105" s="507">
        <f t="shared" si="31"/>
        <v>901063.87001696113</v>
      </c>
      <c r="M105" s="505">
        <f t="shared" si="32"/>
        <v>0</v>
      </c>
      <c r="N105" s="507">
        <f t="shared" si="33"/>
        <v>901063.87001696113</v>
      </c>
      <c r="O105" s="505">
        <f>IF(N105&lt;&gt;0,+I105-N105,0)</f>
        <v>0</v>
      </c>
      <c r="P105" s="505">
        <f>+O105-M105</f>
        <v>0</v>
      </c>
      <c r="Q105" s="244"/>
      <c r="R105" s="244"/>
      <c r="S105" s="244"/>
      <c r="T105" s="244"/>
      <c r="U105" s="244"/>
    </row>
    <row r="106" spans="1:21" ht="12.5">
      <c r="B106" s="145" t="str">
        <f t="shared" si="30"/>
        <v/>
      </c>
      <c r="C106" s="496">
        <f>IF(D94="","-",+C105+1)</f>
        <v>2019</v>
      </c>
      <c r="D106" s="497">
        <v>6538368.097712419</v>
      </c>
      <c r="E106" s="499">
        <v>200286.36111111112</v>
      </c>
      <c r="F106" s="506">
        <v>6338081.736601308</v>
      </c>
      <c r="G106" s="506">
        <v>6438224.917156864</v>
      </c>
      <c r="H106" s="499">
        <v>879921.15121692908</v>
      </c>
      <c r="I106" s="500">
        <v>879921.15121692908</v>
      </c>
      <c r="J106" s="505">
        <f t="shared" si="34"/>
        <v>0</v>
      </c>
      <c r="K106" s="505"/>
      <c r="L106" s="507">
        <f t="shared" si="31"/>
        <v>879921.15121692908</v>
      </c>
      <c r="M106" s="505">
        <f t="shared" si="32"/>
        <v>0</v>
      </c>
      <c r="N106" s="507">
        <f t="shared" si="33"/>
        <v>879921.15121692908</v>
      </c>
      <c r="O106" s="505">
        <f>IF(N106&lt;&gt;0,+I106-N106,0)</f>
        <v>0</v>
      </c>
      <c r="P106" s="505">
        <f t="shared" si="29"/>
        <v>0</v>
      </c>
      <c r="Q106" s="244"/>
      <c r="R106" s="244"/>
      <c r="S106" s="244"/>
      <c r="T106" s="244"/>
      <c r="U106" s="244"/>
    </row>
    <row r="107" spans="1:21" ht="12.5">
      <c r="B107" s="145" t="str">
        <f t="shared" si="30"/>
        <v/>
      </c>
      <c r="C107" s="496">
        <f>IF(D94="","-",+C106+1)</f>
        <v>2020</v>
      </c>
      <c r="D107" s="497">
        <v>6338081.736601308</v>
      </c>
      <c r="E107" s="499">
        <v>257511.03571428571</v>
      </c>
      <c r="F107" s="506">
        <v>6080570.7008870225</v>
      </c>
      <c r="G107" s="506">
        <v>6209326.2187441653</v>
      </c>
      <c r="H107" s="499">
        <v>918267.16489887808</v>
      </c>
      <c r="I107" s="500">
        <v>918267.16489887808</v>
      </c>
      <c r="J107" s="505">
        <f t="shared" si="34"/>
        <v>0</v>
      </c>
      <c r="K107" s="505"/>
      <c r="L107" s="507">
        <f t="shared" si="31"/>
        <v>918267.16489887808</v>
      </c>
      <c r="M107" s="505">
        <f t="shared" si="32"/>
        <v>0</v>
      </c>
      <c r="N107" s="507">
        <f t="shared" si="33"/>
        <v>918267.16489887808</v>
      </c>
      <c r="O107" s="505">
        <f t="shared" si="28"/>
        <v>0</v>
      </c>
      <c r="P107" s="505">
        <f t="shared" si="29"/>
        <v>0</v>
      </c>
      <c r="Q107" s="244"/>
      <c r="R107" s="244"/>
      <c r="S107" s="244"/>
      <c r="T107" s="244"/>
      <c r="U107" s="244"/>
    </row>
    <row r="108" spans="1:21" ht="12.5">
      <c r="B108" s="145" t="str">
        <f t="shared" si="30"/>
        <v/>
      </c>
      <c r="C108" s="496">
        <f>IF(D94="","-",+C107+1)</f>
        <v>2021</v>
      </c>
      <c r="D108" s="497">
        <v>6080570.7008870225</v>
      </c>
      <c r="E108" s="499">
        <v>288412.36</v>
      </c>
      <c r="F108" s="506">
        <v>5792158.3408870222</v>
      </c>
      <c r="G108" s="506">
        <v>5936364.5208870228</v>
      </c>
      <c r="H108" s="499">
        <v>988677.86959528725</v>
      </c>
      <c r="I108" s="500">
        <v>988677.86959528725</v>
      </c>
      <c r="J108" s="505">
        <f t="shared" si="34"/>
        <v>0</v>
      </c>
      <c r="K108" s="505"/>
      <c r="L108" s="507">
        <f t="shared" ref="L108" si="35">H108</f>
        <v>988677.86959528725</v>
      </c>
      <c r="M108" s="505">
        <f t="shared" ref="M108" si="36">IF(L108&lt;&gt;0,+H108-L108,0)</f>
        <v>0</v>
      </c>
      <c r="N108" s="507">
        <f t="shared" ref="N108" si="37">I108</f>
        <v>988677.86959528725</v>
      </c>
      <c r="O108" s="505">
        <f t="shared" si="28"/>
        <v>0</v>
      </c>
      <c r="P108" s="505">
        <f t="shared" si="29"/>
        <v>0</v>
      </c>
      <c r="Q108" s="244"/>
      <c r="R108" s="244"/>
      <c r="S108" s="244"/>
      <c r="T108" s="244"/>
      <c r="U108" s="244"/>
    </row>
    <row r="109" spans="1:21" ht="12.5">
      <c r="B109" s="145" t="str">
        <f t="shared" si="30"/>
        <v/>
      </c>
      <c r="C109" s="496">
        <f>IF(D94="","-",+C108+1)</f>
        <v>2022</v>
      </c>
      <c r="D109" s="497">
        <v>5792158.3408870222</v>
      </c>
      <c r="E109" s="499">
        <v>343348.04761904763</v>
      </c>
      <c r="F109" s="506">
        <v>5448810.2932679746</v>
      </c>
      <c r="G109" s="506">
        <v>5620484.3170774989</v>
      </c>
      <c r="H109" s="499">
        <v>989512.73752603144</v>
      </c>
      <c r="I109" s="500">
        <v>989512.73752603144</v>
      </c>
      <c r="J109" s="505">
        <f t="shared" si="34"/>
        <v>0</v>
      </c>
      <c r="K109" s="505"/>
      <c r="L109" s="507">
        <f t="shared" ref="L109" si="38">H109</f>
        <v>989512.73752603144</v>
      </c>
      <c r="M109" s="505">
        <f t="shared" ref="M109" si="39">IF(L109&lt;&gt;0,+H109-L109,0)</f>
        <v>0</v>
      </c>
      <c r="N109" s="507">
        <f t="shared" ref="N109" si="40">I109</f>
        <v>989512.73752603144</v>
      </c>
      <c r="O109" s="505">
        <f t="shared" ref="O109" si="41">IF(N109&lt;&gt;0,+I109-N109,0)</f>
        <v>0</v>
      </c>
      <c r="P109" s="505">
        <f t="shared" ref="P109" si="42">+O109-M109</f>
        <v>0</v>
      </c>
      <c r="Q109" s="244"/>
      <c r="R109" s="244"/>
      <c r="S109" s="244"/>
      <c r="T109" s="244"/>
      <c r="U109" s="244"/>
    </row>
    <row r="110" spans="1:21" ht="12.5">
      <c r="B110" s="145" t="str">
        <f t="shared" si="30"/>
        <v>IU</v>
      </c>
      <c r="C110" s="496">
        <f>IF(D94="","-",+C109+1)</f>
        <v>2023</v>
      </c>
      <c r="D110" s="350">
        <f>IF(F109+SUM(E$100:E109)=D$93,F109,D$93-SUM(E$100:E109))</f>
        <v>5448810.2432679739</v>
      </c>
      <c r="E110" s="629">
        <f t="shared" ref="E110:E155" si="43">IF(+$J$97&lt;F109,$J$97,D110)</f>
        <v>379489.94473684212</v>
      </c>
      <c r="F110" s="511">
        <f t="shared" ref="F110:F155" si="44">+D110-E110</f>
        <v>5069320.2985311318</v>
      </c>
      <c r="G110" s="511">
        <f t="shared" ref="G110:G155" si="45">+(F110+D110)/2</f>
        <v>5259065.2708995529</v>
      </c>
      <c r="H110" s="645">
        <f t="shared" ref="H110:H155" si="46">(D110+F110)/2*J$95+E110</f>
        <v>956063.14911265764</v>
      </c>
      <c r="I110" s="630">
        <f t="shared" ref="I110:I155" si="47">+J$96*G110+E110</f>
        <v>956063.14911265764</v>
      </c>
      <c r="J110" s="505">
        <f t="shared" si="34"/>
        <v>0</v>
      </c>
      <c r="K110" s="505"/>
      <c r="L110" s="513"/>
      <c r="M110" s="505">
        <f t="shared" si="27"/>
        <v>0</v>
      </c>
      <c r="N110" s="513"/>
      <c r="O110" s="505">
        <f t="shared" si="28"/>
        <v>0</v>
      </c>
      <c r="P110" s="505">
        <f t="shared" si="29"/>
        <v>0</v>
      </c>
      <c r="Q110" s="244"/>
      <c r="R110" s="244"/>
      <c r="S110" s="244"/>
      <c r="T110" s="244"/>
      <c r="U110" s="244"/>
    </row>
    <row r="111" spans="1:21" ht="12.5">
      <c r="B111" s="145" t="str">
        <f t="shared" si="30"/>
        <v/>
      </c>
      <c r="C111" s="496">
        <f>IF(D94="","-",+C110+1)</f>
        <v>2024</v>
      </c>
      <c r="D111" s="350">
        <f>IF(F110+SUM(E$100:E110)=D$93,F110,D$93-SUM(E$100:E110))</f>
        <v>5069320.2985311318</v>
      </c>
      <c r="E111" s="629">
        <f t="shared" si="43"/>
        <v>379489.94473684212</v>
      </c>
      <c r="F111" s="511">
        <f t="shared" si="44"/>
        <v>4689830.3537942898</v>
      </c>
      <c r="G111" s="511">
        <f t="shared" si="45"/>
        <v>4879575.3261627108</v>
      </c>
      <c r="H111" s="645">
        <f t="shared" si="46"/>
        <v>914458.08771970496</v>
      </c>
      <c r="I111" s="630">
        <f t="shared" si="47"/>
        <v>914458.08771970496</v>
      </c>
      <c r="J111" s="505">
        <f t="shared" si="34"/>
        <v>0</v>
      </c>
      <c r="K111" s="505"/>
      <c r="L111" s="513"/>
      <c r="M111" s="505">
        <f t="shared" si="27"/>
        <v>0</v>
      </c>
      <c r="N111" s="513"/>
      <c r="O111" s="505">
        <f t="shared" si="28"/>
        <v>0</v>
      </c>
      <c r="P111" s="505">
        <f t="shared" si="29"/>
        <v>0</v>
      </c>
      <c r="Q111" s="244"/>
      <c r="R111" s="244"/>
      <c r="S111" s="244"/>
      <c r="T111" s="244"/>
      <c r="U111" s="244"/>
    </row>
    <row r="112" spans="1:21" ht="12.5">
      <c r="B112" s="145" t="str">
        <f t="shared" si="30"/>
        <v/>
      </c>
      <c r="C112" s="496">
        <f>IF(D94="","-",+C111+1)</f>
        <v>2025</v>
      </c>
      <c r="D112" s="350">
        <f>IF(F111+SUM(E$100:E111)=D$93,F111,D$93-SUM(E$100:E111))</f>
        <v>4689830.3537942898</v>
      </c>
      <c r="E112" s="629">
        <f t="shared" si="43"/>
        <v>379489.94473684212</v>
      </c>
      <c r="F112" s="511">
        <f t="shared" si="44"/>
        <v>4310340.4090574477</v>
      </c>
      <c r="G112" s="511">
        <f t="shared" si="45"/>
        <v>4500085.3814258687</v>
      </c>
      <c r="H112" s="645">
        <f t="shared" si="46"/>
        <v>872853.02632675203</v>
      </c>
      <c r="I112" s="630">
        <f t="shared" si="47"/>
        <v>872853.02632675203</v>
      </c>
      <c r="J112" s="505">
        <f t="shared" si="34"/>
        <v>0</v>
      </c>
      <c r="K112" s="505"/>
      <c r="L112" s="513"/>
      <c r="M112" s="505">
        <f t="shared" si="27"/>
        <v>0</v>
      </c>
      <c r="N112" s="513"/>
      <c r="O112" s="505">
        <f t="shared" si="28"/>
        <v>0</v>
      </c>
      <c r="P112" s="505">
        <f t="shared" si="29"/>
        <v>0</v>
      </c>
      <c r="Q112" s="244"/>
      <c r="R112" s="244"/>
      <c r="S112" s="244"/>
      <c r="T112" s="244"/>
      <c r="U112" s="244"/>
    </row>
    <row r="113" spans="2:21" ht="12.5">
      <c r="B113" s="145" t="str">
        <f t="shared" si="30"/>
        <v/>
      </c>
      <c r="C113" s="496">
        <f>IF(D94="","-",+C112+1)</f>
        <v>2026</v>
      </c>
      <c r="D113" s="350">
        <f>IF(F112+SUM(E$100:E112)=D$93,F112,D$93-SUM(E$100:E112))</f>
        <v>4310340.4090574477</v>
      </c>
      <c r="E113" s="629">
        <f t="shared" si="43"/>
        <v>379489.94473684212</v>
      </c>
      <c r="F113" s="511">
        <f t="shared" si="44"/>
        <v>3930850.4643206056</v>
      </c>
      <c r="G113" s="511">
        <f t="shared" si="45"/>
        <v>4120595.4366890267</v>
      </c>
      <c r="H113" s="645">
        <f t="shared" si="46"/>
        <v>831247.96493379911</v>
      </c>
      <c r="I113" s="630">
        <f t="shared" si="47"/>
        <v>831247.96493379911</v>
      </c>
      <c r="J113" s="505">
        <f t="shared" si="34"/>
        <v>0</v>
      </c>
      <c r="K113" s="505"/>
      <c r="L113" s="513"/>
      <c r="M113" s="505">
        <f t="shared" si="27"/>
        <v>0</v>
      </c>
      <c r="N113" s="513"/>
      <c r="O113" s="505">
        <f t="shared" si="28"/>
        <v>0</v>
      </c>
      <c r="P113" s="505">
        <f t="shared" si="29"/>
        <v>0</v>
      </c>
      <c r="Q113" s="244"/>
      <c r="R113" s="244"/>
      <c r="S113" s="244"/>
      <c r="T113" s="244"/>
      <c r="U113" s="244"/>
    </row>
    <row r="114" spans="2:21" ht="12.5">
      <c r="B114" s="145" t="str">
        <f t="shared" si="30"/>
        <v/>
      </c>
      <c r="C114" s="496">
        <f>IF(D94="","-",+C113+1)</f>
        <v>2027</v>
      </c>
      <c r="D114" s="350">
        <f>IF(F113+SUM(E$100:E113)=D$93,F113,D$93-SUM(E$100:E113))</f>
        <v>3930850.4643206056</v>
      </c>
      <c r="E114" s="629">
        <f t="shared" si="43"/>
        <v>379489.94473684212</v>
      </c>
      <c r="F114" s="511">
        <f t="shared" si="44"/>
        <v>3551360.5195837636</v>
      </c>
      <c r="G114" s="511">
        <f t="shared" si="45"/>
        <v>3741105.4919521846</v>
      </c>
      <c r="H114" s="645">
        <f t="shared" si="46"/>
        <v>789642.90354084619</v>
      </c>
      <c r="I114" s="630">
        <f t="shared" si="47"/>
        <v>789642.90354084619</v>
      </c>
      <c r="J114" s="505">
        <f t="shared" si="34"/>
        <v>0</v>
      </c>
      <c r="K114" s="505"/>
      <c r="L114" s="513"/>
      <c r="M114" s="505">
        <f t="shared" si="27"/>
        <v>0</v>
      </c>
      <c r="N114" s="513"/>
      <c r="O114" s="505">
        <f t="shared" si="28"/>
        <v>0</v>
      </c>
      <c r="P114" s="505">
        <f t="shared" si="29"/>
        <v>0</v>
      </c>
      <c r="Q114" s="244"/>
      <c r="R114" s="244"/>
      <c r="S114" s="244"/>
      <c r="T114" s="244"/>
      <c r="U114" s="244"/>
    </row>
    <row r="115" spans="2:21" ht="12.5">
      <c r="B115" s="145" t="str">
        <f t="shared" si="30"/>
        <v/>
      </c>
      <c r="C115" s="496">
        <f>IF(D94="","-",+C114+1)</f>
        <v>2028</v>
      </c>
      <c r="D115" s="350">
        <f>IF(F114+SUM(E$100:E114)=D$93,F114,D$93-SUM(E$100:E114))</f>
        <v>3551360.5195837636</v>
      </c>
      <c r="E115" s="629">
        <f t="shared" si="43"/>
        <v>379489.94473684212</v>
      </c>
      <c r="F115" s="511">
        <f t="shared" si="44"/>
        <v>3171870.5748469215</v>
      </c>
      <c r="G115" s="511">
        <f t="shared" si="45"/>
        <v>3361615.5472153425</v>
      </c>
      <c r="H115" s="645">
        <f t="shared" si="46"/>
        <v>748037.84214789339</v>
      </c>
      <c r="I115" s="630">
        <f t="shared" si="47"/>
        <v>748037.84214789339</v>
      </c>
      <c r="J115" s="505">
        <f t="shared" si="34"/>
        <v>0</v>
      </c>
      <c r="K115" s="505"/>
      <c r="L115" s="513"/>
      <c r="M115" s="505">
        <f t="shared" si="27"/>
        <v>0</v>
      </c>
      <c r="N115" s="513"/>
      <c r="O115" s="505">
        <f t="shared" si="28"/>
        <v>0</v>
      </c>
      <c r="P115" s="505">
        <f t="shared" si="29"/>
        <v>0</v>
      </c>
      <c r="Q115" s="244"/>
      <c r="R115" s="244"/>
      <c r="S115" s="244"/>
      <c r="T115" s="244"/>
      <c r="U115" s="244"/>
    </row>
    <row r="116" spans="2:21" ht="12.5">
      <c r="B116" s="145" t="str">
        <f t="shared" si="30"/>
        <v/>
      </c>
      <c r="C116" s="496">
        <f>IF(D94="","-",+C115+1)</f>
        <v>2029</v>
      </c>
      <c r="D116" s="350">
        <f>IF(F115+SUM(E$100:E115)=D$93,F115,D$93-SUM(E$100:E115))</f>
        <v>3171870.5748469215</v>
      </c>
      <c r="E116" s="629">
        <f t="shared" si="43"/>
        <v>379489.94473684212</v>
      </c>
      <c r="F116" s="511">
        <f t="shared" si="44"/>
        <v>2792380.6301100794</v>
      </c>
      <c r="G116" s="511">
        <f t="shared" si="45"/>
        <v>2982125.6024785005</v>
      </c>
      <c r="H116" s="645">
        <f t="shared" si="46"/>
        <v>706432.78075494058</v>
      </c>
      <c r="I116" s="630">
        <f t="shared" si="47"/>
        <v>706432.78075494058</v>
      </c>
      <c r="J116" s="505">
        <f t="shared" si="34"/>
        <v>0</v>
      </c>
      <c r="K116" s="505"/>
      <c r="L116" s="513"/>
      <c r="M116" s="505">
        <f t="shared" si="27"/>
        <v>0</v>
      </c>
      <c r="N116" s="513"/>
      <c r="O116" s="505">
        <f t="shared" si="28"/>
        <v>0</v>
      </c>
      <c r="P116" s="505">
        <f t="shared" si="29"/>
        <v>0</v>
      </c>
      <c r="Q116" s="244"/>
      <c r="R116" s="244"/>
      <c r="S116" s="244"/>
      <c r="T116" s="244"/>
      <c r="U116" s="244"/>
    </row>
    <row r="117" spans="2:21" ht="12.5">
      <c r="B117" s="145" t="str">
        <f t="shared" si="30"/>
        <v/>
      </c>
      <c r="C117" s="496">
        <f>IF(D94="","-",+C116+1)</f>
        <v>2030</v>
      </c>
      <c r="D117" s="350">
        <f>IF(F116+SUM(E$100:E116)=D$93,F116,D$93-SUM(E$100:E116))</f>
        <v>2792380.6301100794</v>
      </c>
      <c r="E117" s="629">
        <f t="shared" si="43"/>
        <v>379489.94473684212</v>
      </c>
      <c r="F117" s="511">
        <f t="shared" si="44"/>
        <v>2412890.6853732374</v>
      </c>
      <c r="G117" s="511">
        <f t="shared" si="45"/>
        <v>2602635.6577416584</v>
      </c>
      <c r="H117" s="645">
        <f t="shared" si="46"/>
        <v>664827.71936198766</v>
      </c>
      <c r="I117" s="630">
        <f t="shared" si="47"/>
        <v>664827.71936198766</v>
      </c>
      <c r="J117" s="505">
        <f t="shared" si="34"/>
        <v>0</v>
      </c>
      <c r="K117" s="505"/>
      <c r="L117" s="513"/>
      <c r="M117" s="505">
        <f t="shared" si="27"/>
        <v>0</v>
      </c>
      <c r="N117" s="513"/>
      <c r="O117" s="505">
        <f t="shared" si="28"/>
        <v>0</v>
      </c>
      <c r="P117" s="505">
        <f t="shared" si="29"/>
        <v>0</v>
      </c>
      <c r="Q117" s="244"/>
      <c r="R117" s="244"/>
      <c r="S117" s="244"/>
      <c r="T117" s="244"/>
      <c r="U117" s="244"/>
    </row>
    <row r="118" spans="2:21" ht="12.5">
      <c r="B118" s="145" t="str">
        <f t="shared" si="30"/>
        <v/>
      </c>
      <c r="C118" s="496">
        <f>IF(D94="","-",+C117+1)</f>
        <v>2031</v>
      </c>
      <c r="D118" s="350">
        <f>IF(F117+SUM(E$100:E117)=D$93,F117,D$93-SUM(E$100:E117))</f>
        <v>2412890.6853732374</v>
      </c>
      <c r="E118" s="629">
        <f t="shared" si="43"/>
        <v>379489.94473684212</v>
      </c>
      <c r="F118" s="511">
        <f t="shared" si="44"/>
        <v>2033400.7406363953</v>
      </c>
      <c r="G118" s="511">
        <f t="shared" si="45"/>
        <v>2223145.7130048163</v>
      </c>
      <c r="H118" s="645">
        <f t="shared" si="46"/>
        <v>623222.65796903474</v>
      </c>
      <c r="I118" s="630">
        <f t="shared" si="47"/>
        <v>623222.65796903474</v>
      </c>
      <c r="J118" s="505">
        <f t="shared" si="34"/>
        <v>0</v>
      </c>
      <c r="K118" s="505"/>
      <c r="L118" s="513"/>
      <c r="M118" s="505">
        <f t="shared" si="27"/>
        <v>0</v>
      </c>
      <c r="N118" s="513"/>
      <c r="O118" s="505">
        <f t="shared" si="28"/>
        <v>0</v>
      </c>
      <c r="P118" s="505">
        <f t="shared" si="29"/>
        <v>0</v>
      </c>
      <c r="Q118" s="244"/>
      <c r="R118" s="244"/>
      <c r="S118" s="244"/>
      <c r="T118" s="244"/>
      <c r="U118" s="244"/>
    </row>
    <row r="119" spans="2:21" ht="12.5">
      <c r="B119" s="145" t="str">
        <f t="shared" si="30"/>
        <v/>
      </c>
      <c r="C119" s="496">
        <f>IF(D94="","-",+C118+1)</f>
        <v>2032</v>
      </c>
      <c r="D119" s="350">
        <f>IF(F118+SUM(E$100:E118)=D$93,F118,D$93-SUM(E$100:E118))</f>
        <v>2033400.7406363953</v>
      </c>
      <c r="E119" s="629">
        <f t="shared" si="43"/>
        <v>379489.94473684212</v>
      </c>
      <c r="F119" s="511">
        <f t="shared" si="44"/>
        <v>1653910.7958995532</v>
      </c>
      <c r="G119" s="511">
        <f t="shared" si="45"/>
        <v>1843655.7682679743</v>
      </c>
      <c r="H119" s="645">
        <f t="shared" si="46"/>
        <v>581617.59657608194</v>
      </c>
      <c r="I119" s="630">
        <f t="shared" si="47"/>
        <v>581617.59657608194</v>
      </c>
      <c r="J119" s="505">
        <f t="shared" si="34"/>
        <v>0</v>
      </c>
      <c r="K119" s="505"/>
      <c r="L119" s="513"/>
      <c r="M119" s="505">
        <f t="shared" si="27"/>
        <v>0</v>
      </c>
      <c r="N119" s="513"/>
      <c r="O119" s="505">
        <f t="shared" si="28"/>
        <v>0</v>
      </c>
      <c r="P119" s="505">
        <f t="shared" si="29"/>
        <v>0</v>
      </c>
      <c r="Q119" s="244"/>
      <c r="R119" s="244"/>
      <c r="S119" s="244"/>
      <c r="T119" s="244"/>
      <c r="U119" s="244"/>
    </row>
    <row r="120" spans="2:21" ht="12.5">
      <c r="B120" s="145" t="str">
        <f t="shared" si="30"/>
        <v/>
      </c>
      <c r="C120" s="496">
        <f>IF(D94="","-",+C119+1)</f>
        <v>2033</v>
      </c>
      <c r="D120" s="350">
        <f>IF(F119+SUM(E$100:E119)=D$93,F119,D$93-SUM(E$100:E119))</f>
        <v>1653910.7958995532</v>
      </c>
      <c r="E120" s="629">
        <f t="shared" si="43"/>
        <v>379489.94473684212</v>
      </c>
      <c r="F120" s="511">
        <f t="shared" si="44"/>
        <v>1274420.8511627112</v>
      </c>
      <c r="G120" s="511">
        <f t="shared" si="45"/>
        <v>1464165.8235311322</v>
      </c>
      <c r="H120" s="645">
        <f t="shared" si="46"/>
        <v>540012.53518312902</v>
      </c>
      <c r="I120" s="630">
        <f t="shared" si="47"/>
        <v>540012.53518312902</v>
      </c>
      <c r="J120" s="505">
        <f t="shared" si="34"/>
        <v>0</v>
      </c>
      <c r="K120" s="505"/>
      <c r="L120" s="513"/>
      <c r="M120" s="505">
        <f t="shared" si="27"/>
        <v>0</v>
      </c>
      <c r="N120" s="513"/>
      <c r="O120" s="505">
        <f t="shared" si="28"/>
        <v>0</v>
      </c>
      <c r="P120" s="505">
        <f t="shared" si="29"/>
        <v>0</v>
      </c>
      <c r="Q120" s="244"/>
      <c r="R120" s="244"/>
      <c r="S120" s="244"/>
      <c r="T120" s="244"/>
      <c r="U120" s="244"/>
    </row>
    <row r="121" spans="2:21" ht="12.5">
      <c r="B121" s="145" t="str">
        <f t="shared" si="30"/>
        <v/>
      </c>
      <c r="C121" s="496">
        <f>IF(D94="","-",+C120+1)</f>
        <v>2034</v>
      </c>
      <c r="D121" s="350">
        <f>IF(F120+SUM(E$100:E120)=D$93,F120,D$93-SUM(E$100:E120))</f>
        <v>1274420.8511627112</v>
      </c>
      <c r="E121" s="629">
        <f t="shared" si="43"/>
        <v>379489.94473684212</v>
      </c>
      <c r="F121" s="511">
        <f t="shared" si="44"/>
        <v>894930.90642586909</v>
      </c>
      <c r="G121" s="511">
        <f t="shared" si="45"/>
        <v>1084675.8787942901</v>
      </c>
      <c r="H121" s="645">
        <f t="shared" si="46"/>
        <v>498407.47379017615</v>
      </c>
      <c r="I121" s="630">
        <f t="shared" si="47"/>
        <v>498407.47379017615</v>
      </c>
      <c r="J121" s="505">
        <f t="shared" si="34"/>
        <v>0</v>
      </c>
      <c r="K121" s="505"/>
      <c r="L121" s="513"/>
      <c r="M121" s="505">
        <f t="shared" si="27"/>
        <v>0</v>
      </c>
      <c r="N121" s="513"/>
      <c r="O121" s="505">
        <f t="shared" si="28"/>
        <v>0</v>
      </c>
      <c r="P121" s="505">
        <f t="shared" si="29"/>
        <v>0</v>
      </c>
      <c r="Q121" s="244"/>
      <c r="R121" s="244"/>
      <c r="S121" s="244"/>
      <c r="T121" s="244"/>
      <c r="U121" s="244"/>
    </row>
    <row r="122" spans="2:21" ht="12.5">
      <c r="B122" s="145" t="str">
        <f t="shared" si="30"/>
        <v/>
      </c>
      <c r="C122" s="496">
        <f>IF(D94="","-",+C121+1)</f>
        <v>2035</v>
      </c>
      <c r="D122" s="350">
        <f>IF(F121+SUM(E$100:E121)=D$93,F121,D$93-SUM(E$100:E121))</f>
        <v>894930.90642586909</v>
      </c>
      <c r="E122" s="629">
        <f t="shared" si="43"/>
        <v>379489.94473684212</v>
      </c>
      <c r="F122" s="511">
        <f t="shared" si="44"/>
        <v>515440.96168902697</v>
      </c>
      <c r="G122" s="511">
        <f t="shared" si="45"/>
        <v>705185.93405744806</v>
      </c>
      <c r="H122" s="645">
        <f t="shared" si="46"/>
        <v>456802.41239722329</v>
      </c>
      <c r="I122" s="630">
        <f t="shared" si="47"/>
        <v>456802.41239722329</v>
      </c>
      <c r="J122" s="505">
        <f t="shared" si="34"/>
        <v>0</v>
      </c>
      <c r="K122" s="505"/>
      <c r="L122" s="513"/>
      <c r="M122" s="505">
        <f t="shared" si="27"/>
        <v>0</v>
      </c>
      <c r="N122" s="513"/>
      <c r="O122" s="505">
        <f t="shared" si="28"/>
        <v>0</v>
      </c>
      <c r="P122" s="505">
        <f t="shared" si="29"/>
        <v>0</v>
      </c>
      <c r="Q122" s="244"/>
      <c r="R122" s="244"/>
      <c r="S122" s="244"/>
      <c r="T122" s="244"/>
      <c r="U122" s="244"/>
    </row>
    <row r="123" spans="2:21" ht="12.5">
      <c r="B123" s="145" t="str">
        <f t="shared" si="30"/>
        <v/>
      </c>
      <c r="C123" s="496">
        <f>IF(D94="","-",+C122+1)</f>
        <v>2036</v>
      </c>
      <c r="D123" s="350">
        <f>IF(F122+SUM(E$100:E122)=D$93,F122,D$93-SUM(E$100:E122))</f>
        <v>515440.96168902697</v>
      </c>
      <c r="E123" s="629">
        <f t="shared" si="43"/>
        <v>379489.94473684212</v>
      </c>
      <c r="F123" s="511">
        <f t="shared" si="44"/>
        <v>135951.01695218484</v>
      </c>
      <c r="G123" s="511">
        <f t="shared" si="45"/>
        <v>325695.98932060588</v>
      </c>
      <c r="H123" s="645">
        <f t="shared" si="46"/>
        <v>415197.35100427043</v>
      </c>
      <c r="I123" s="630">
        <f t="shared" si="47"/>
        <v>415197.35100427043</v>
      </c>
      <c r="J123" s="505">
        <f t="shared" si="34"/>
        <v>0</v>
      </c>
      <c r="K123" s="505"/>
      <c r="L123" s="513"/>
      <c r="M123" s="505">
        <f t="shared" si="27"/>
        <v>0</v>
      </c>
      <c r="N123" s="513"/>
      <c r="O123" s="505">
        <f t="shared" si="28"/>
        <v>0</v>
      </c>
      <c r="P123" s="505">
        <f t="shared" si="29"/>
        <v>0</v>
      </c>
      <c r="Q123" s="244"/>
      <c r="R123" s="244"/>
      <c r="S123" s="244"/>
      <c r="T123" s="244"/>
      <c r="U123" s="244"/>
    </row>
    <row r="124" spans="2:21" ht="12.5">
      <c r="B124" s="145" t="str">
        <f t="shared" si="30"/>
        <v/>
      </c>
      <c r="C124" s="496">
        <f>IF(D94="","-",+C123+1)</f>
        <v>2037</v>
      </c>
      <c r="D124" s="350">
        <f>IF(F123+SUM(E$100:E123)=D$93,F123,D$93-SUM(E$100:E123))</f>
        <v>135951.01695218484</v>
      </c>
      <c r="E124" s="629">
        <f t="shared" si="43"/>
        <v>135951.01695218484</v>
      </c>
      <c r="F124" s="511">
        <f t="shared" si="44"/>
        <v>0</v>
      </c>
      <c r="G124" s="511">
        <f t="shared" si="45"/>
        <v>67975.508476092422</v>
      </c>
      <c r="H124" s="645">
        <f t="shared" si="46"/>
        <v>143403.45473766077</v>
      </c>
      <c r="I124" s="630">
        <f t="shared" si="47"/>
        <v>143403.45473766077</v>
      </c>
      <c r="J124" s="505">
        <f t="shared" si="34"/>
        <v>0</v>
      </c>
      <c r="K124" s="505"/>
      <c r="L124" s="513"/>
      <c r="M124" s="505">
        <f t="shared" si="27"/>
        <v>0</v>
      </c>
      <c r="N124" s="513"/>
      <c r="O124" s="505">
        <f t="shared" si="28"/>
        <v>0</v>
      </c>
      <c r="P124" s="505">
        <f t="shared" si="29"/>
        <v>0</v>
      </c>
      <c r="Q124" s="244"/>
      <c r="R124" s="244"/>
      <c r="S124" s="244"/>
      <c r="T124" s="244"/>
      <c r="U124" s="244"/>
    </row>
    <row r="125" spans="2:21" ht="12.5">
      <c r="B125" s="145" t="str">
        <f t="shared" si="30"/>
        <v/>
      </c>
      <c r="C125" s="496">
        <f>IF(D94="","-",+C124+1)</f>
        <v>2038</v>
      </c>
      <c r="D125" s="350">
        <f>IF(F124+SUM(E$100:E124)=D$93,F124,D$93-SUM(E$100:E124))</f>
        <v>0</v>
      </c>
      <c r="E125" s="629">
        <f t="shared" si="43"/>
        <v>0</v>
      </c>
      <c r="F125" s="511">
        <f t="shared" si="44"/>
        <v>0</v>
      </c>
      <c r="G125" s="511">
        <f t="shared" si="45"/>
        <v>0</v>
      </c>
      <c r="H125" s="645">
        <f t="shared" si="46"/>
        <v>0</v>
      </c>
      <c r="I125" s="630">
        <f t="shared" si="47"/>
        <v>0</v>
      </c>
      <c r="J125" s="505">
        <f t="shared" si="34"/>
        <v>0</v>
      </c>
      <c r="K125" s="505"/>
      <c r="L125" s="513"/>
      <c r="M125" s="505">
        <f t="shared" si="27"/>
        <v>0</v>
      </c>
      <c r="N125" s="513"/>
      <c r="O125" s="505">
        <f t="shared" si="28"/>
        <v>0</v>
      </c>
      <c r="P125" s="505">
        <f t="shared" si="29"/>
        <v>0</v>
      </c>
      <c r="Q125" s="244"/>
      <c r="R125" s="244"/>
      <c r="S125" s="244"/>
      <c r="T125" s="244"/>
      <c r="U125" s="244"/>
    </row>
    <row r="126" spans="2:21" ht="12.5">
      <c r="B126" s="145" t="str">
        <f t="shared" si="30"/>
        <v/>
      </c>
      <c r="C126" s="496">
        <f>IF(D94="","-",+C125+1)</f>
        <v>2039</v>
      </c>
      <c r="D126" s="350">
        <f>IF(F125+SUM(E$100:E125)=D$93,F125,D$93-SUM(E$100:E125))</f>
        <v>0</v>
      </c>
      <c r="E126" s="629">
        <f t="shared" si="43"/>
        <v>0</v>
      </c>
      <c r="F126" s="511">
        <f t="shared" si="44"/>
        <v>0</v>
      </c>
      <c r="G126" s="511">
        <f t="shared" si="45"/>
        <v>0</v>
      </c>
      <c r="H126" s="645">
        <f t="shared" si="46"/>
        <v>0</v>
      </c>
      <c r="I126" s="630">
        <f t="shared" si="47"/>
        <v>0</v>
      </c>
      <c r="J126" s="505">
        <f t="shared" si="34"/>
        <v>0</v>
      </c>
      <c r="K126" s="505"/>
      <c r="L126" s="513"/>
      <c r="M126" s="505">
        <f t="shared" si="27"/>
        <v>0</v>
      </c>
      <c r="N126" s="513"/>
      <c r="O126" s="505">
        <f t="shared" si="28"/>
        <v>0</v>
      </c>
      <c r="P126" s="505">
        <f t="shared" si="29"/>
        <v>0</v>
      </c>
      <c r="Q126" s="244"/>
      <c r="R126" s="244"/>
      <c r="S126" s="244"/>
      <c r="T126" s="244"/>
      <c r="U126" s="244"/>
    </row>
    <row r="127" spans="2:21" ht="12.5">
      <c r="B127" s="145" t="str">
        <f t="shared" si="30"/>
        <v/>
      </c>
      <c r="C127" s="496">
        <f>IF(D94="","-",+C126+1)</f>
        <v>2040</v>
      </c>
      <c r="D127" s="350">
        <f>IF(F126+SUM(E$100:E126)=D$93,F126,D$93-SUM(E$100:E126))</f>
        <v>0</v>
      </c>
      <c r="E127" s="629">
        <f t="shared" si="43"/>
        <v>0</v>
      </c>
      <c r="F127" s="511">
        <f t="shared" si="44"/>
        <v>0</v>
      </c>
      <c r="G127" s="511">
        <f t="shared" si="45"/>
        <v>0</v>
      </c>
      <c r="H127" s="645">
        <f t="shared" si="46"/>
        <v>0</v>
      </c>
      <c r="I127" s="630">
        <f t="shared" si="47"/>
        <v>0</v>
      </c>
      <c r="J127" s="505">
        <f t="shared" si="34"/>
        <v>0</v>
      </c>
      <c r="K127" s="505"/>
      <c r="L127" s="513"/>
      <c r="M127" s="505">
        <f t="shared" si="27"/>
        <v>0</v>
      </c>
      <c r="N127" s="513"/>
      <c r="O127" s="505">
        <f t="shared" si="28"/>
        <v>0</v>
      </c>
      <c r="P127" s="505">
        <f t="shared" si="29"/>
        <v>0</v>
      </c>
      <c r="Q127" s="244"/>
      <c r="R127" s="244"/>
      <c r="S127" s="244"/>
      <c r="T127" s="244"/>
      <c r="U127" s="244"/>
    </row>
    <row r="128" spans="2:21" ht="12.5">
      <c r="B128" s="145" t="str">
        <f t="shared" si="30"/>
        <v/>
      </c>
      <c r="C128" s="496">
        <f>IF(D94="","-",+C127+1)</f>
        <v>2041</v>
      </c>
      <c r="D128" s="350">
        <f>IF(F127+SUM(E$100:E127)=D$93,F127,D$93-SUM(E$100:E127))</f>
        <v>0</v>
      </c>
      <c r="E128" s="629">
        <f t="shared" si="43"/>
        <v>0</v>
      </c>
      <c r="F128" s="511">
        <f t="shared" si="44"/>
        <v>0</v>
      </c>
      <c r="G128" s="511">
        <f t="shared" si="45"/>
        <v>0</v>
      </c>
      <c r="H128" s="645">
        <f t="shared" si="46"/>
        <v>0</v>
      </c>
      <c r="I128" s="630">
        <f t="shared" si="47"/>
        <v>0</v>
      </c>
      <c r="J128" s="505">
        <f t="shared" si="34"/>
        <v>0</v>
      </c>
      <c r="K128" s="505"/>
      <c r="L128" s="513"/>
      <c r="M128" s="505">
        <f t="shared" si="27"/>
        <v>0</v>
      </c>
      <c r="N128" s="513"/>
      <c r="O128" s="505">
        <f t="shared" si="28"/>
        <v>0</v>
      </c>
      <c r="P128" s="505">
        <f t="shared" si="29"/>
        <v>0</v>
      </c>
      <c r="Q128" s="244"/>
      <c r="R128" s="244"/>
      <c r="S128" s="244"/>
      <c r="T128" s="244"/>
      <c r="U128" s="244"/>
    </row>
    <row r="129" spans="2:21" ht="12.5">
      <c r="B129" s="145" t="str">
        <f t="shared" si="30"/>
        <v/>
      </c>
      <c r="C129" s="496">
        <f>IF(D94="","-",+C128+1)</f>
        <v>2042</v>
      </c>
      <c r="D129" s="350">
        <f>IF(F128+SUM(E$100:E128)=D$93,F128,D$93-SUM(E$100:E128))</f>
        <v>0</v>
      </c>
      <c r="E129" s="629">
        <f t="shared" si="43"/>
        <v>0</v>
      </c>
      <c r="F129" s="511">
        <f t="shared" si="44"/>
        <v>0</v>
      </c>
      <c r="G129" s="511">
        <f t="shared" si="45"/>
        <v>0</v>
      </c>
      <c r="H129" s="645">
        <f t="shared" si="46"/>
        <v>0</v>
      </c>
      <c r="I129" s="630">
        <f t="shared" si="47"/>
        <v>0</v>
      </c>
      <c r="J129" s="505">
        <f t="shared" si="34"/>
        <v>0</v>
      </c>
      <c r="K129" s="505"/>
      <c r="L129" s="513"/>
      <c r="M129" s="505">
        <f t="shared" si="27"/>
        <v>0</v>
      </c>
      <c r="N129" s="513"/>
      <c r="O129" s="505">
        <f t="shared" si="28"/>
        <v>0</v>
      </c>
      <c r="P129" s="505">
        <f t="shared" si="29"/>
        <v>0</v>
      </c>
      <c r="Q129" s="244"/>
      <c r="R129" s="244"/>
      <c r="S129" s="244"/>
      <c r="T129" s="244"/>
      <c r="U129" s="244"/>
    </row>
    <row r="130" spans="2:21" ht="12.5">
      <c r="B130" s="145" t="str">
        <f t="shared" si="30"/>
        <v/>
      </c>
      <c r="C130" s="496">
        <f>IF(D94="","-",+C129+1)</f>
        <v>2043</v>
      </c>
      <c r="D130" s="350">
        <f>IF(F129+SUM(E$100:E129)=D$93,F129,D$93-SUM(E$100:E129))</f>
        <v>0</v>
      </c>
      <c r="E130" s="629">
        <f t="shared" si="43"/>
        <v>0</v>
      </c>
      <c r="F130" s="511">
        <f t="shared" si="44"/>
        <v>0</v>
      </c>
      <c r="G130" s="511">
        <f t="shared" si="45"/>
        <v>0</v>
      </c>
      <c r="H130" s="645">
        <f t="shared" si="46"/>
        <v>0</v>
      </c>
      <c r="I130" s="630">
        <f t="shared" si="47"/>
        <v>0</v>
      </c>
      <c r="J130" s="505">
        <f t="shared" si="34"/>
        <v>0</v>
      </c>
      <c r="K130" s="505"/>
      <c r="L130" s="513"/>
      <c r="M130" s="505">
        <f t="shared" si="27"/>
        <v>0</v>
      </c>
      <c r="N130" s="513"/>
      <c r="O130" s="505">
        <f t="shared" si="28"/>
        <v>0</v>
      </c>
      <c r="P130" s="505">
        <f t="shared" si="29"/>
        <v>0</v>
      </c>
      <c r="Q130" s="244"/>
      <c r="R130" s="244"/>
      <c r="S130" s="244"/>
      <c r="T130" s="244"/>
      <c r="U130" s="244"/>
    </row>
    <row r="131" spans="2:21" ht="12.5">
      <c r="B131" s="145" t="str">
        <f t="shared" si="30"/>
        <v/>
      </c>
      <c r="C131" s="496">
        <f>IF(D94="","-",+C130+1)</f>
        <v>2044</v>
      </c>
      <c r="D131" s="350">
        <f>IF(F130+SUM(E$100:E130)=D$93,F130,D$93-SUM(E$100:E130))</f>
        <v>0</v>
      </c>
      <c r="E131" s="629">
        <f t="shared" si="43"/>
        <v>0</v>
      </c>
      <c r="F131" s="511">
        <f t="shared" si="44"/>
        <v>0</v>
      </c>
      <c r="G131" s="511">
        <f t="shared" si="45"/>
        <v>0</v>
      </c>
      <c r="H131" s="645">
        <f t="shared" si="46"/>
        <v>0</v>
      </c>
      <c r="I131" s="630">
        <f t="shared" si="47"/>
        <v>0</v>
      </c>
      <c r="J131" s="505">
        <f t="shared" si="34"/>
        <v>0</v>
      </c>
      <c r="K131" s="505"/>
      <c r="L131" s="513"/>
      <c r="M131" s="505">
        <f t="shared" si="27"/>
        <v>0</v>
      </c>
      <c r="N131" s="513"/>
      <c r="O131" s="505">
        <f t="shared" si="28"/>
        <v>0</v>
      </c>
      <c r="P131" s="505">
        <f t="shared" si="29"/>
        <v>0</v>
      </c>
      <c r="Q131" s="244"/>
      <c r="R131" s="244"/>
      <c r="S131" s="244"/>
      <c r="T131" s="244"/>
      <c r="U131" s="244"/>
    </row>
    <row r="132" spans="2:21" ht="12.5">
      <c r="B132" s="145" t="str">
        <f t="shared" si="30"/>
        <v/>
      </c>
      <c r="C132" s="496">
        <f>IF(D94="","-",+C131+1)</f>
        <v>2045</v>
      </c>
      <c r="D132" s="350">
        <f>IF(F131+SUM(E$100:E131)=D$93,F131,D$93-SUM(E$100:E131))</f>
        <v>0</v>
      </c>
      <c r="E132" s="629">
        <f t="shared" si="43"/>
        <v>0</v>
      </c>
      <c r="F132" s="511">
        <f t="shared" si="44"/>
        <v>0</v>
      </c>
      <c r="G132" s="511">
        <f t="shared" si="45"/>
        <v>0</v>
      </c>
      <c r="H132" s="645">
        <f t="shared" si="46"/>
        <v>0</v>
      </c>
      <c r="I132" s="630">
        <f t="shared" si="47"/>
        <v>0</v>
      </c>
      <c r="J132" s="505">
        <f t="shared" si="34"/>
        <v>0</v>
      </c>
      <c r="K132" s="505"/>
      <c r="L132" s="513"/>
      <c r="M132" s="505">
        <f t="shared" ref="M132:M155" si="48">IF(L542&lt;&gt;0,+H542-L542,0)</f>
        <v>0</v>
      </c>
      <c r="N132" s="513"/>
      <c r="O132" s="505">
        <f t="shared" ref="O132:O155" si="49">IF(N542&lt;&gt;0,+I542-N542,0)</f>
        <v>0</v>
      </c>
      <c r="P132" s="505">
        <f t="shared" ref="P132:P155" si="50">+O542-M542</f>
        <v>0</v>
      </c>
      <c r="Q132" s="244"/>
      <c r="R132" s="244"/>
      <c r="S132" s="244"/>
      <c r="T132" s="244"/>
      <c r="U132" s="244"/>
    </row>
    <row r="133" spans="2:21" ht="12.5">
      <c r="B133" s="145" t="str">
        <f t="shared" si="30"/>
        <v/>
      </c>
      <c r="C133" s="496">
        <f>IF(D94="","-",+C132+1)</f>
        <v>2046</v>
      </c>
      <c r="D133" s="350">
        <f>IF(F132+SUM(E$100:E132)=D$93,F132,D$93-SUM(E$100:E132))</f>
        <v>0</v>
      </c>
      <c r="E133" s="629">
        <f t="shared" si="43"/>
        <v>0</v>
      </c>
      <c r="F133" s="511">
        <f t="shared" si="44"/>
        <v>0</v>
      </c>
      <c r="G133" s="511">
        <f t="shared" si="45"/>
        <v>0</v>
      </c>
      <c r="H133" s="645">
        <f t="shared" si="46"/>
        <v>0</v>
      </c>
      <c r="I133" s="630">
        <f t="shared" si="47"/>
        <v>0</v>
      </c>
      <c r="J133" s="505">
        <f t="shared" si="34"/>
        <v>0</v>
      </c>
      <c r="K133" s="505"/>
      <c r="L133" s="513"/>
      <c r="M133" s="505">
        <f t="shared" si="48"/>
        <v>0</v>
      </c>
      <c r="N133" s="513"/>
      <c r="O133" s="505">
        <f t="shared" si="49"/>
        <v>0</v>
      </c>
      <c r="P133" s="505">
        <f t="shared" si="50"/>
        <v>0</v>
      </c>
      <c r="Q133" s="244"/>
      <c r="R133" s="244"/>
      <c r="S133" s="244"/>
      <c r="T133" s="244"/>
      <c r="U133" s="244"/>
    </row>
    <row r="134" spans="2:21" ht="12.5">
      <c r="B134" s="145" t="str">
        <f t="shared" si="30"/>
        <v/>
      </c>
      <c r="C134" s="496">
        <f>IF(D94="","-",+C133+1)</f>
        <v>2047</v>
      </c>
      <c r="D134" s="350">
        <f>IF(F133+SUM(E$100:E133)=D$93,F133,D$93-SUM(E$100:E133))</f>
        <v>0</v>
      </c>
      <c r="E134" s="629">
        <f t="shared" si="43"/>
        <v>0</v>
      </c>
      <c r="F134" s="511">
        <f t="shared" si="44"/>
        <v>0</v>
      </c>
      <c r="G134" s="511">
        <f t="shared" si="45"/>
        <v>0</v>
      </c>
      <c r="H134" s="645">
        <f t="shared" si="46"/>
        <v>0</v>
      </c>
      <c r="I134" s="630">
        <f t="shared" si="47"/>
        <v>0</v>
      </c>
      <c r="J134" s="505">
        <f t="shared" si="34"/>
        <v>0</v>
      </c>
      <c r="K134" s="505"/>
      <c r="L134" s="513"/>
      <c r="M134" s="505">
        <f t="shared" si="48"/>
        <v>0</v>
      </c>
      <c r="N134" s="513"/>
      <c r="O134" s="505">
        <f t="shared" si="49"/>
        <v>0</v>
      </c>
      <c r="P134" s="505">
        <f t="shared" si="50"/>
        <v>0</v>
      </c>
      <c r="Q134" s="244"/>
      <c r="R134" s="244"/>
      <c r="S134" s="244"/>
      <c r="T134" s="244"/>
      <c r="U134" s="244"/>
    </row>
    <row r="135" spans="2:21" ht="12.5">
      <c r="B135" s="145" t="str">
        <f t="shared" si="30"/>
        <v/>
      </c>
      <c r="C135" s="496">
        <f>IF(D94="","-",+C134+1)</f>
        <v>2048</v>
      </c>
      <c r="D135" s="350">
        <f>IF(F134+SUM(E$100:E134)=D$93,F134,D$93-SUM(E$100:E134))</f>
        <v>0</v>
      </c>
      <c r="E135" s="629">
        <f t="shared" si="43"/>
        <v>0</v>
      </c>
      <c r="F135" s="511">
        <f t="shared" si="44"/>
        <v>0</v>
      </c>
      <c r="G135" s="511">
        <f t="shared" si="45"/>
        <v>0</v>
      </c>
      <c r="H135" s="645">
        <f t="shared" si="46"/>
        <v>0</v>
      </c>
      <c r="I135" s="630">
        <f t="shared" si="47"/>
        <v>0</v>
      </c>
      <c r="J135" s="505">
        <f t="shared" si="34"/>
        <v>0</v>
      </c>
      <c r="K135" s="505"/>
      <c r="L135" s="513"/>
      <c r="M135" s="505">
        <f t="shared" si="48"/>
        <v>0</v>
      </c>
      <c r="N135" s="513"/>
      <c r="O135" s="505">
        <f t="shared" si="49"/>
        <v>0</v>
      </c>
      <c r="P135" s="505">
        <f t="shared" si="50"/>
        <v>0</v>
      </c>
      <c r="Q135" s="244"/>
      <c r="R135" s="244"/>
      <c r="S135" s="244"/>
      <c r="T135" s="244"/>
      <c r="U135" s="244"/>
    </row>
    <row r="136" spans="2:21" ht="12.5">
      <c r="B136" s="145" t="str">
        <f t="shared" si="30"/>
        <v/>
      </c>
      <c r="C136" s="496">
        <f>IF(D94="","-",+C135+1)</f>
        <v>2049</v>
      </c>
      <c r="D136" s="350">
        <f>IF(F135+SUM(E$100:E135)=D$93,F135,D$93-SUM(E$100:E135))</f>
        <v>0</v>
      </c>
      <c r="E136" s="629">
        <f t="shared" si="43"/>
        <v>0</v>
      </c>
      <c r="F136" s="511">
        <f t="shared" si="44"/>
        <v>0</v>
      </c>
      <c r="G136" s="511">
        <f t="shared" si="45"/>
        <v>0</v>
      </c>
      <c r="H136" s="645">
        <f t="shared" si="46"/>
        <v>0</v>
      </c>
      <c r="I136" s="630">
        <f t="shared" si="47"/>
        <v>0</v>
      </c>
      <c r="J136" s="505">
        <f t="shared" si="34"/>
        <v>0</v>
      </c>
      <c r="K136" s="505"/>
      <c r="L136" s="513"/>
      <c r="M136" s="505">
        <f t="shared" si="48"/>
        <v>0</v>
      </c>
      <c r="N136" s="513"/>
      <c r="O136" s="505">
        <f t="shared" si="49"/>
        <v>0</v>
      </c>
      <c r="P136" s="505">
        <f t="shared" si="50"/>
        <v>0</v>
      </c>
      <c r="Q136" s="244"/>
      <c r="R136" s="244"/>
      <c r="S136" s="244"/>
      <c r="T136" s="244"/>
      <c r="U136" s="244"/>
    </row>
    <row r="137" spans="2:21" ht="12.5">
      <c r="B137" s="145" t="str">
        <f t="shared" si="30"/>
        <v/>
      </c>
      <c r="C137" s="496">
        <f>IF(D94="","-",+C136+1)</f>
        <v>2050</v>
      </c>
      <c r="D137" s="350">
        <f>IF(F136+SUM(E$100:E136)=D$93,F136,D$93-SUM(E$100:E136))</f>
        <v>0</v>
      </c>
      <c r="E137" s="629">
        <f t="shared" si="43"/>
        <v>0</v>
      </c>
      <c r="F137" s="511">
        <f t="shared" si="44"/>
        <v>0</v>
      </c>
      <c r="G137" s="511">
        <f t="shared" si="45"/>
        <v>0</v>
      </c>
      <c r="H137" s="645">
        <f t="shared" si="46"/>
        <v>0</v>
      </c>
      <c r="I137" s="630">
        <f t="shared" si="47"/>
        <v>0</v>
      </c>
      <c r="J137" s="505">
        <f t="shared" si="34"/>
        <v>0</v>
      </c>
      <c r="K137" s="505"/>
      <c r="L137" s="513"/>
      <c r="M137" s="505">
        <f t="shared" si="48"/>
        <v>0</v>
      </c>
      <c r="N137" s="513"/>
      <c r="O137" s="505">
        <f t="shared" si="49"/>
        <v>0</v>
      </c>
      <c r="P137" s="505">
        <f t="shared" si="50"/>
        <v>0</v>
      </c>
      <c r="Q137" s="244"/>
      <c r="R137" s="244"/>
      <c r="S137" s="244"/>
      <c r="T137" s="244"/>
      <c r="U137" s="244"/>
    </row>
    <row r="138" spans="2:21" ht="12.5">
      <c r="B138" s="145" t="str">
        <f t="shared" si="30"/>
        <v/>
      </c>
      <c r="C138" s="496">
        <f>IF(D94="","-",+C137+1)</f>
        <v>2051</v>
      </c>
      <c r="D138" s="350">
        <f>IF(F137+SUM(E$100:E137)=D$93,F137,D$93-SUM(E$100:E137))</f>
        <v>0</v>
      </c>
      <c r="E138" s="629">
        <f t="shared" si="43"/>
        <v>0</v>
      </c>
      <c r="F138" s="511">
        <f t="shared" si="44"/>
        <v>0</v>
      </c>
      <c r="G138" s="511">
        <f t="shared" si="45"/>
        <v>0</v>
      </c>
      <c r="H138" s="645">
        <f t="shared" si="46"/>
        <v>0</v>
      </c>
      <c r="I138" s="630">
        <f t="shared" si="47"/>
        <v>0</v>
      </c>
      <c r="J138" s="505">
        <f t="shared" si="34"/>
        <v>0</v>
      </c>
      <c r="K138" s="505"/>
      <c r="L138" s="513"/>
      <c r="M138" s="505">
        <f t="shared" si="48"/>
        <v>0</v>
      </c>
      <c r="N138" s="513"/>
      <c r="O138" s="505">
        <f t="shared" si="49"/>
        <v>0</v>
      </c>
      <c r="P138" s="505">
        <f t="shared" si="50"/>
        <v>0</v>
      </c>
      <c r="Q138" s="244"/>
      <c r="R138" s="244"/>
      <c r="S138" s="244"/>
      <c r="T138" s="244"/>
      <c r="U138" s="244"/>
    </row>
    <row r="139" spans="2:21" ht="12.5">
      <c r="B139" s="145" t="str">
        <f t="shared" si="30"/>
        <v/>
      </c>
      <c r="C139" s="496">
        <f>IF(D94="","-",+C138+1)</f>
        <v>2052</v>
      </c>
      <c r="D139" s="350">
        <f>IF(F138+SUM(E$100:E138)=D$93,F138,D$93-SUM(E$100:E138))</f>
        <v>0</v>
      </c>
      <c r="E139" s="629">
        <f t="shared" si="43"/>
        <v>0</v>
      </c>
      <c r="F139" s="511">
        <f t="shared" si="44"/>
        <v>0</v>
      </c>
      <c r="G139" s="511">
        <f t="shared" si="45"/>
        <v>0</v>
      </c>
      <c r="H139" s="645">
        <f t="shared" si="46"/>
        <v>0</v>
      </c>
      <c r="I139" s="630">
        <f t="shared" si="47"/>
        <v>0</v>
      </c>
      <c r="J139" s="505">
        <f t="shared" si="34"/>
        <v>0</v>
      </c>
      <c r="K139" s="505"/>
      <c r="L139" s="513"/>
      <c r="M139" s="505">
        <f t="shared" si="48"/>
        <v>0</v>
      </c>
      <c r="N139" s="513"/>
      <c r="O139" s="505">
        <f t="shared" si="49"/>
        <v>0</v>
      </c>
      <c r="P139" s="505">
        <f t="shared" si="50"/>
        <v>0</v>
      </c>
      <c r="Q139" s="244"/>
      <c r="R139" s="244"/>
      <c r="S139" s="244"/>
      <c r="T139" s="244"/>
      <c r="U139" s="244"/>
    </row>
    <row r="140" spans="2:21" ht="12.5">
      <c r="B140" s="145" t="str">
        <f t="shared" si="30"/>
        <v/>
      </c>
      <c r="C140" s="496">
        <f>IF(D94="","-",+C139+1)</f>
        <v>2053</v>
      </c>
      <c r="D140" s="350">
        <f>IF(F139+SUM(E$100:E139)=D$93,F139,D$93-SUM(E$100:E139))</f>
        <v>0</v>
      </c>
      <c r="E140" s="629">
        <f t="shared" si="43"/>
        <v>0</v>
      </c>
      <c r="F140" s="511">
        <f t="shared" si="44"/>
        <v>0</v>
      </c>
      <c r="G140" s="511">
        <f t="shared" si="45"/>
        <v>0</v>
      </c>
      <c r="H140" s="645">
        <f t="shared" si="46"/>
        <v>0</v>
      </c>
      <c r="I140" s="630">
        <f t="shared" si="47"/>
        <v>0</v>
      </c>
      <c r="J140" s="505">
        <f t="shared" si="34"/>
        <v>0</v>
      </c>
      <c r="K140" s="505"/>
      <c r="L140" s="513"/>
      <c r="M140" s="505">
        <f t="shared" si="48"/>
        <v>0</v>
      </c>
      <c r="N140" s="513"/>
      <c r="O140" s="505">
        <f t="shared" si="49"/>
        <v>0</v>
      </c>
      <c r="P140" s="505">
        <f t="shared" si="50"/>
        <v>0</v>
      </c>
      <c r="Q140" s="244"/>
      <c r="R140" s="244"/>
      <c r="S140" s="244"/>
      <c r="T140" s="244"/>
      <c r="U140" s="244"/>
    </row>
    <row r="141" spans="2:21" ht="12.5">
      <c r="B141" s="145" t="str">
        <f t="shared" si="30"/>
        <v/>
      </c>
      <c r="C141" s="496">
        <f>IF(D94="","-",+C140+1)</f>
        <v>2054</v>
      </c>
      <c r="D141" s="350">
        <f>IF(F140+SUM(E$100:E140)=D$93,F140,D$93-SUM(E$100:E140))</f>
        <v>0</v>
      </c>
      <c r="E141" s="629">
        <f t="shared" si="43"/>
        <v>0</v>
      </c>
      <c r="F141" s="511">
        <f t="shared" si="44"/>
        <v>0</v>
      </c>
      <c r="G141" s="511">
        <f t="shared" si="45"/>
        <v>0</v>
      </c>
      <c r="H141" s="645">
        <f t="shared" si="46"/>
        <v>0</v>
      </c>
      <c r="I141" s="630">
        <f t="shared" si="47"/>
        <v>0</v>
      </c>
      <c r="J141" s="505">
        <f t="shared" si="34"/>
        <v>0</v>
      </c>
      <c r="K141" s="505"/>
      <c r="L141" s="513"/>
      <c r="M141" s="505">
        <f t="shared" si="48"/>
        <v>0</v>
      </c>
      <c r="N141" s="513"/>
      <c r="O141" s="505">
        <f t="shared" si="49"/>
        <v>0</v>
      </c>
      <c r="P141" s="505">
        <f t="shared" si="50"/>
        <v>0</v>
      </c>
      <c r="Q141" s="244"/>
      <c r="R141" s="244"/>
      <c r="S141" s="244"/>
      <c r="T141" s="244"/>
      <c r="U141" s="244"/>
    </row>
    <row r="142" spans="2:21" ht="12.5">
      <c r="B142" s="145" t="str">
        <f t="shared" si="30"/>
        <v/>
      </c>
      <c r="C142" s="496">
        <f>IF(D94="","-",+C141+1)</f>
        <v>2055</v>
      </c>
      <c r="D142" s="350">
        <f>IF(F141+SUM(E$100:E141)=D$93,F141,D$93-SUM(E$100:E141))</f>
        <v>0</v>
      </c>
      <c r="E142" s="629">
        <f t="shared" si="43"/>
        <v>0</v>
      </c>
      <c r="F142" s="511">
        <f t="shared" si="44"/>
        <v>0</v>
      </c>
      <c r="G142" s="511">
        <f t="shared" si="45"/>
        <v>0</v>
      </c>
      <c r="H142" s="645">
        <f t="shared" si="46"/>
        <v>0</v>
      </c>
      <c r="I142" s="630">
        <f t="shared" si="47"/>
        <v>0</v>
      </c>
      <c r="J142" s="505">
        <f t="shared" si="34"/>
        <v>0</v>
      </c>
      <c r="K142" s="505"/>
      <c r="L142" s="513"/>
      <c r="M142" s="505">
        <f t="shared" si="48"/>
        <v>0</v>
      </c>
      <c r="N142" s="513"/>
      <c r="O142" s="505">
        <f t="shared" si="49"/>
        <v>0</v>
      </c>
      <c r="P142" s="505">
        <f t="shared" si="50"/>
        <v>0</v>
      </c>
      <c r="Q142" s="244"/>
      <c r="R142" s="244"/>
      <c r="S142" s="244"/>
      <c r="T142" s="244"/>
      <c r="U142" s="244"/>
    </row>
    <row r="143" spans="2:21" ht="12.5">
      <c r="B143" s="145" t="str">
        <f t="shared" si="30"/>
        <v/>
      </c>
      <c r="C143" s="496">
        <f>IF(D94="","-",+C142+1)</f>
        <v>2056</v>
      </c>
      <c r="D143" s="350">
        <f>IF(F142+SUM(E$100:E142)=D$93,F142,D$93-SUM(E$100:E142))</f>
        <v>0</v>
      </c>
      <c r="E143" s="629">
        <f t="shared" si="43"/>
        <v>0</v>
      </c>
      <c r="F143" s="511">
        <f t="shared" si="44"/>
        <v>0</v>
      </c>
      <c r="G143" s="511">
        <f t="shared" si="45"/>
        <v>0</v>
      </c>
      <c r="H143" s="645">
        <f t="shared" si="46"/>
        <v>0</v>
      </c>
      <c r="I143" s="630">
        <f t="shared" si="47"/>
        <v>0</v>
      </c>
      <c r="J143" s="505">
        <f t="shared" si="34"/>
        <v>0</v>
      </c>
      <c r="K143" s="505"/>
      <c r="L143" s="513"/>
      <c r="M143" s="505">
        <f t="shared" si="48"/>
        <v>0</v>
      </c>
      <c r="N143" s="513"/>
      <c r="O143" s="505">
        <f t="shared" si="49"/>
        <v>0</v>
      </c>
      <c r="P143" s="505">
        <f t="shared" si="50"/>
        <v>0</v>
      </c>
      <c r="Q143" s="244"/>
      <c r="R143" s="244"/>
      <c r="S143" s="244"/>
      <c r="T143" s="244"/>
      <c r="U143" s="244"/>
    </row>
    <row r="144" spans="2:21" ht="12.5">
      <c r="B144" s="145" t="str">
        <f t="shared" si="30"/>
        <v/>
      </c>
      <c r="C144" s="496">
        <f>IF(D94="","-",+C143+1)</f>
        <v>2057</v>
      </c>
      <c r="D144" s="350">
        <f>IF(F143+SUM(E$100:E143)=D$93,F143,D$93-SUM(E$100:E143))</f>
        <v>0</v>
      </c>
      <c r="E144" s="629">
        <f t="shared" si="43"/>
        <v>0</v>
      </c>
      <c r="F144" s="511">
        <f t="shared" si="44"/>
        <v>0</v>
      </c>
      <c r="G144" s="511">
        <f t="shared" si="45"/>
        <v>0</v>
      </c>
      <c r="H144" s="645">
        <f t="shared" si="46"/>
        <v>0</v>
      </c>
      <c r="I144" s="630">
        <f t="shared" si="47"/>
        <v>0</v>
      </c>
      <c r="J144" s="505">
        <f t="shared" si="34"/>
        <v>0</v>
      </c>
      <c r="K144" s="505"/>
      <c r="L144" s="513"/>
      <c r="M144" s="505">
        <f t="shared" si="48"/>
        <v>0</v>
      </c>
      <c r="N144" s="513"/>
      <c r="O144" s="505">
        <f t="shared" si="49"/>
        <v>0</v>
      </c>
      <c r="P144" s="505">
        <f t="shared" si="50"/>
        <v>0</v>
      </c>
      <c r="Q144" s="244"/>
      <c r="R144" s="244"/>
      <c r="S144" s="244"/>
      <c r="T144" s="244"/>
      <c r="U144" s="244"/>
    </row>
    <row r="145" spans="2:21" ht="12.5">
      <c r="B145" s="145" t="str">
        <f t="shared" si="30"/>
        <v/>
      </c>
      <c r="C145" s="496">
        <f>IF(D94="","-",+C144+1)</f>
        <v>2058</v>
      </c>
      <c r="D145" s="350">
        <f>IF(F144+SUM(E$100:E144)=D$93,F144,D$93-SUM(E$100:E144))</f>
        <v>0</v>
      </c>
      <c r="E145" s="629">
        <f t="shared" si="43"/>
        <v>0</v>
      </c>
      <c r="F145" s="511">
        <f t="shared" si="44"/>
        <v>0</v>
      </c>
      <c r="G145" s="511">
        <f t="shared" si="45"/>
        <v>0</v>
      </c>
      <c r="H145" s="645">
        <f t="shared" si="46"/>
        <v>0</v>
      </c>
      <c r="I145" s="630">
        <f t="shared" si="47"/>
        <v>0</v>
      </c>
      <c r="J145" s="505">
        <f t="shared" si="34"/>
        <v>0</v>
      </c>
      <c r="K145" s="505"/>
      <c r="L145" s="513"/>
      <c r="M145" s="505">
        <f t="shared" si="48"/>
        <v>0</v>
      </c>
      <c r="N145" s="513"/>
      <c r="O145" s="505">
        <f t="shared" si="49"/>
        <v>0</v>
      </c>
      <c r="P145" s="505">
        <f t="shared" si="50"/>
        <v>0</v>
      </c>
      <c r="Q145" s="244"/>
      <c r="R145" s="244"/>
      <c r="S145" s="244"/>
      <c r="T145" s="244"/>
      <c r="U145" s="244"/>
    </row>
    <row r="146" spans="2:21" ht="12.5">
      <c r="B146" s="145" t="str">
        <f t="shared" si="30"/>
        <v/>
      </c>
      <c r="C146" s="496">
        <f>IF(D94="","-",+C145+1)</f>
        <v>2059</v>
      </c>
      <c r="D146" s="350">
        <f>IF(F145+SUM(E$100:E145)=D$93,F145,D$93-SUM(E$100:E145))</f>
        <v>0</v>
      </c>
      <c r="E146" s="629">
        <f t="shared" si="43"/>
        <v>0</v>
      </c>
      <c r="F146" s="511">
        <f t="shared" si="44"/>
        <v>0</v>
      </c>
      <c r="G146" s="511">
        <f t="shared" si="45"/>
        <v>0</v>
      </c>
      <c r="H146" s="645">
        <f t="shared" si="46"/>
        <v>0</v>
      </c>
      <c r="I146" s="630">
        <f t="shared" si="47"/>
        <v>0</v>
      </c>
      <c r="J146" s="505">
        <f t="shared" si="34"/>
        <v>0</v>
      </c>
      <c r="K146" s="505"/>
      <c r="L146" s="513"/>
      <c r="M146" s="505">
        <f t="shared" si="48"/>
        <v>0</v>
      </c>
      <c r="N146" s="513"/>
      <c r="O146" s="505">
        <f t="shared" si="49"/>
        <v>0</v>
      </c>
      <c r="P146" s="505">
        <f t="shared" si="50"/>
        <v>0</v>
      </c>
      <c r="Q146" s="244"/>
      <c r="R146" s="244"/>
      <c r="S146" s="244"/>
      <c r="T146" s="244"/>
      <c r="U146" s="244"/>
    </row>
    <row r="147" spans="2:21" ht="12.5">
      <c r="B147" s="145" t="str">
        <f t="shared" si="30"/>
        <v/>
      </c>
      <c r="C147" s="496">
        <f>IF(D94="","-",+C146+1)</f>
        <v>2060</v>
      </c>
      <c r="D147" s="350">
        <f>IF(F146+SUM(E$100:E146)=D$93,F146,D$93-SUM(E$100:E146))</f>
        <v>0</v>
      </c>
      <c r="E147" s="629">
        <f t="shared" si="43"/>
        <v>0</v>
      </c>
      <c r="F147" s="511">
        <f t="shared" si="44"/>
        <v>0</v>
      </c>
      <c r="G147" s="511">
        <f t="shared" si="45"/>
        <v>0</v>
      </c>
      <c r="H147" s="645">
        <f t="shared" si="46"/>
        <v>0</v>
      </c>
      <c r="I147" s="630">
        <f t="shared" si="47"/>
        <v>0</v>
      </c>
      <c r="J147" s="505">
        <f t="shared" si="34"/>
        <v>0</v>
      </c>
      <c r="K147" s="505"/>
      <c r="L147" s="513"/>
      <c r="M147" s="505">
        <f t="shared" si="48"/>
        <v>0</v>
      </c>
      <c r="N147" s="513"/>
      <c r="O147" s="505">
        <f t="shared" si="49"/>
        <v>0</v>
      </c>
      <c r="P147" s="505">
        <f t="shared" si="50"/>
        <v>0</v>
      </c>
      <c r="Q147" s="244"/>
      <c r="R147" s="244"/>
      <c r="S147" s="244"/>
      <c r="T147" s="244"/>
      <c r="U147" s="244"/>
    </row>
    <row r="148" spans="2:21" ht="12.5">
      <c r="B148" s="145" t="str">
        <f t="shared" si="30"/>
        <v/>
      </c>
      <c r="C148" s="496">
        <f>IF(D94="","-",+C147+1)</f>
        <v>2061</v>
      </c>
      <c r="D148" s="350">
        <f>IF(F147+SUM(E$100:E147)=D$93,F147,D$93-SUM(E$100:E147))</f>
        <v>0</v>
      </c>
      <c r="E148" s="629">
        <f t="shared" si="43"/>
        <v>0</v>
      </c>
      <c r="F148" s="511">
        <f t="shared" si="44"/>
        <v>0</v>
      </c>
      <c r="G148" s="511">
        <f t="shared" si="45"/>
        <v>0</v>
      </c>
      <c r="H148" s="645">
        <f t="shared" si="46"/>
        <v>0</v>
      </c>
      <c r="I148" s="630">
        <f t="shared" si="47"/>
        <v>0</v>
      </c>
      <c r="J148" s="505">
        <f t="shared" si="34"/>
        <v>0</v>
      </c>
      <c r="K148" s="505"/>
      <c r="L148" s="513"/>
      <c r="M148" s="505">
        <f t="shared" si="48"/>
        <v>0</v>
      </c>
      <c r="N148" s="513"/>
      <c r="O148" s="505">
        <f t="shared" si="49"/>
        <v>0</v>
      </c>
      <c r="P148" s="505">
        <f t="shared" si="50"/>
        <v>0</v>
      </c>
      <c r="Q148" s="244"/>
      <c r="R148" s="244"/>
      <c r="S148" s="244"/>
      <c r="T148" s="244"/>
      <c r="U148" s="244"/>
    </row>
    <row r="149" spans="2:21" ht="12.5">
      <c r="B149" s="145" t="str">
        <f t="shared" si="30"/>
        <v/>
      </c>
      <c r="C149" s="496">
        <f>IF(D94="","-",+C148+1)</f>
        <v>2062</v>
      </c>
      <c r="D149" s="350">
        <f>IF(F148+SUM(E$100:E148)=D$93,F148,D$93-SUM(E$100:E148))</f>
        <v>0</v>
      </c>
      <c r="E149" s="629">
        <f t="shared" si="43"/>
        <v>0</v>
      </c>
      <c r="F149" s="511">
        <f t="shared" si="44"/>
        <v>0</v>
      </c>
      <c r="G149" s="511">
        <f t="shared" si="45"/>
        <v>0</v>
      </c>
      <c r="H149" s="645">
        <f t="shared" si="46"/>
        <v>0</v>
      </c>
      <c r="I149" s="630">
        <f t="shared" si="47"/>
        <v>0</v>
      </c>
      <c r="J149" s="505">
        <f t="shared" si="34"/>
        <v>0</v>
      </c>
      <c r="K149" s="505"/>
      <c r="L149" s="513"/>
      <c r="M149" s="505">
        <f t="shared" si="48"/>
        <v>0</v>
      </c>
      <c r="N149" s="513"/>
      <c r="O149" s="505">
        <f t="shared" si="49"/>
        <v>0</v>
      </c>
      <c r="P149" s="505">
        <f t="shared" si="50"/>
        <v>0</v>
      </c>
      <c r="Q149" s="244"/>
      <c r="R149" s="244"/>
      <c r="S149" s="244"/>
      <c r="T149" s="244"/>
      <c r="U149" s="244"/>
    </row>
    <row r="150" spans="2:21" ht="12.5">
      <c r="B150" s="145" t="str">
        <f t="shared" si="30"/>
        <v/>
      </c>
      <c r="C150" s="496">
        <f>IF(D94="","-",+C149+1)</f>
        <v>2063</v>
      </c>
      <c r="D150" s="350">
        <f>IF(F149+SUM(E$100:E149)=D$93,F149,D$93-SUM(E$100:E149))</f>
        <v>0</v>
      </c>
      <c r="E150" s="629">
        <f t="shared" si="43"/>
        <v>0</v>
      </c>
      <c r="F150" s="511">
        <f t="shared" si="44"/>
        <v>0</v>
      </c>
      <c r="G150" s="511">
        <f t="shared" si="45"/>
        <v>0</v>
      </c>
      <c r="H150" s="645">
        <f t="shared" si="46"/>
        <v>0</v>
      </c>
      <c r="I150" s="630">
        <f t="shared" si="47"/>
        <v>0</v>
      </c>
      <c r="J150" s="505">
        <f t="shared" si="34"/>
        <v>0</v>
      </c>
      <c r="K150" s="505"/>
      <c r="L150" s="513"/>
      <c r="M150" s="505">
        <f t="shared" si="48"/>
        <v>0</v>
      </c>
      <c r="N150" s="513"/>
      <c r="O150" s="505">
        <f t="shared" si="49"/>
        <v>0</v>
      </c>
      <c r="P150" s="505">
        <f t="shared" si="50"/>
        <v>0</v>
      </c>
      <c r="Q150" s="244"/>
      <c r="R150" s="244"/>
      <c r="S150" s="244"/>
      <c r="T150" s="244"/>
      <c r="U150" s="244"/>
    </row>
    <row r="151" spans="2:21" ht="12.5">
      <c r="B151" s="145" t="str">
        <f t="shared" si="30"/>
        <v/>
      </c>
      <c r="C151" s="496">
        <f>IF(D94="","-",+C150+1)</f>
        <v>2064</v>
      </c>
      <c r="D151" s="350">
        <f>IF(F150+SUM(E$100:E150)=D$93,F150,D$93-SUM(E$100:E150))</f>
        <v>0</v>
      </c>
      <c r="E151" s="629">
        <f t="shared" si="43"/>
        <v>0</v>
      </c>
      <c r="F151" s="511">
        <f t="shared" si="44"/>
        <v>0</v>
      </c>
      <c r="G151" s="511">
        <f t="shared" si="45"/>
        <v>0</v>
      </c>
      <c r="H151" s="645">
        <f t="shared" si="46"/>
        <v>0</v>
      </c>
      <c r="I151" s="630">
        <f t="shared" si="47"/>
        <v>0</v>
      </c>
      <c r="J151" s="505">
        <f t="shared" si="34"/>
        <v>0</v>
      </c>
      <c r="K151" s="505"/>
      <c r="L151" s="513"/>
      <c r="M151" s="505">
        <f t="shared" si="48"/>
        <v>0</v>
      </c>
      <c r="N151" s="513"/>
      <c r="O151" s="505">
        <f t="shared" si="49"/>
        <v>0</v>
      </c>
      <c r="P151" s="505">
        <f t="shared" si="50"/>
        <v>0</v>
      </c>
      <c r="Q151" s="244"/>
      <c r="R151" s="244"/>
      <c r="S151" s="244"/>
      <c r="T151" s="244"/>
      <c r="U151" s="244"/>
    </row>
    <row r="152" spans="2:21" ht="12.5">
      <c r="B152" s="145" t="str">
        <f t="shared" si="30"/>
        <v/>
      </c>
      <c r="C152" s="496">
        <f>IF(D94="","-",+C151+1)</f>
        <v>2065</v>
      </c>
      <c r="D152" s="350">
        <f>IF(F151+SUM(E$100:E151)=D$93,F151,D$93-SUM(E$100:E151))</f>
        <v>0</v>
      </c>
      <c r="E152" s="629">
        <f t="shared" si="43"/>
        <v>0</v>
      </c>
      <c r="F152" s="511">
        <f t="shared" si="44"/>
        <v>0</v>
      </c>
      <c r="G152" s="511">
        <f t="shared" si="45"/>
        <v>0</v>
      </c>
      <c r="H152" s="645">
        <f t="shared" si="46"/>
        <v>0</v>
      </c>
      <c r="I152" s="630">
        <f t="shared" si="47"/>
        <v>0</v>
      </c>
      <c r="J152" s="505">
        <f t="shared" si="34"/>
        <v>0</v>
      </c>
      <c r="K152" s="505"/>
      <c r="L152" s="513"/>
      <c r="M152" s="505">
        <f t="shared" si="48"/>
        <v>0</v>
      </c>
      <c r="N152" s="513"/>
      <c r="O152" s="505">
        <f t="shared" si="49"/>
        <v>0</v>
      </c>
      <c r="P152" s="505">
        <f t="shared" si="50"/>
        <v>0</v>
      </c>
      <c r="Q152" s="244"/>
      <c r="R152" s="244"/>
      <c r="S152" s="244"/>
      <c r="T152" s="244"/>
      <c r="U152" s="244"/>
    </row>
    <row r="153" spans="2:21" ht="12.5">
      <c r="B153" s="145" t="str">
        <f t="shared" si="30"/>
        <v/>
      </c>
      <c r="C153" s="496">
        <f>IF(D94="","-",+C152+1)</f>
        <v>2066</v>
      </c>
      <c r="D153" s="350">
        <f>IF(F152+SUM(E$100:E152)=D$93,F152,D$93-SUM(E$100:E152))</f>
        <v>0</v>
      </c>
      <c r="E153" s="629">
        <f t="shared" si="43"/>
        <v>0</v>
      </c>
      <c r="F153" s="511">
        <f t="shared" si="44"/>
        <v>0</v>
      </c>
      <c r="G153" s="511">
        <f t="shared" si="45"/>
        <v>0</v>
      </c>
      <c r="H153" s="645">
        <f t="shared" si="46"/>
        <v>0</v>
      </c>
      <c r="I153" s="630">
        <f t="shared" si="47"/>
        <v>0</v>
      </c>
      <c r="J153" s="505">
        <f t="shared" si="34"/>
        <v>0</v>
      </c>
      <c r="K153" s="505"/>
      <c r="L153" s="513"/>
      <c r="M153" s="505">
        <f t="shared" si="48"/>
        <v>0</v>
      </c>
      <c r="N153" s="513"/>
      <c r="O153" s="505">
        <f t="shared" si="49"/>
        <v>0</v>
      </c>
      <c r="P153" s="505">
        <f t="shared" si="50"/>
        <v>0</v>
      </c>
      <c r="Q153" s="244"/>
      <c r="R153" s="244"/>
      <c r="S153" s="244"/>
      <c r="T153" s="244"/>
      <c r="U153" s="244"/>
    </row>
    <row r="154" spans="2:21" ht="12.5">
      <c r="B154" s="145" t="str">
        <f t="shared" si="30"/>
        <v/>
      </c>
      <c r="C154" s="496">
        <f>IF(D94="","-",+C153+1)</f>
        <v>2067</v>
      </c>
      <c r="D154" s="350">
        <f>IF(F153+SUM(E$100:E153)=D$93,F153,D$93-SUM(E$100:E153))</f>
        <v>0</v>
      </c>
      <c r="E154" s="629">
        <f t="shared" si="43"/>
        <v>0</v>
      </c>
      <c r="F154" s="511">
        <f t="shared" si="44"/>
        <v>0</v>
      </c>
      <c r="G154" s="511">
        <f t="shared" si="45"/>
        <v>0</v>
      </c>
      <c r="H154" s="645">
        <f t="shared" si="46"/>
        <v>0</v>
      </c>
      <c r="I154" s="630">
        <f t="shared" si="47"/>
        <v>0</v>
      </c>
      <c r="J154" s="505">
        <f t="shared" si="34"/>
        <v>0</v>
      </c>
      <c r="K154" s="505"/>
      <c r="L154" s="513"/>
      <c r="M154" s="505">
        <f t="shared" si="48"/>
        <v>0</v>
      </c>
      <c r="N154" s="513"/>
      <c r="O154" s="505">
        <f t="shared" si="49"/>
        <v>0</v>
      </c>
      <c r="P154" s="505">
        <f t="shared" si="50"/>
        <v>0</v>
      </c>
      <c r="Q154" s="244"/>
      <c r="R154" s="244"/>
      <c r="S154" s="244"/>
      <c r="T154" s="244"/>
      <c r="U154" s="244"/>
    </row>
    <row r="155" spans="2:21" ht="13" thickBot="1">
      <c r="B155" s="145" t="str">
        <f t="shared" si="30"/>
        <v/>
      </c>
      <c r="C155" s="525">
        <f>IF(D94="","-",+C154+1)</f>
        <v>2068</v>
      </c>
      <c r="D155" s="619">
        <f>IF(F154+SUM(E$100:E154)=D$93,F154,D$93-SUM(E$100:E154))</f>
        <v>0</v>
      </c>
      <c r="E155" s="631">
        <f t="shared" si="43"/>
        <v>0</v>
      </c>
      <c r="F155" s="528">
        <f t="shared" si="44"/>
        <v>0</v>
      </c>
      <c r="G155" s="528">
        <f t="shared" si="45"/>
        <v>0</v>
      </c>
      <c r="H155" s="645">
        <f t="shared" si="46"/>
        <v>0</v>
      </c>
      <c r="I155" s="632">
        <f t="shared" si="47"/>
        <v>0</v>
      </c>
      <c r="J155" s="532">
        <f t="shared" si="34"/>
        <v>0</v>
      </c>
      <c r="K155" s="505"/>
      <c r="L155" s="531"/>
      <c r="M155" s="532">
        <f t="shared" si="48"/>
        <v>0</v>
      </c>
      <c r="N155" s="531"/>
      <c r="O155" s="532">
        <f t="shared" si="49"/>
        <v>0</v>
      </c>
      <c r="P155" s="532">
        <f t="shared" si="50"/>
        <v>0</v>
      </c>
      <c r="Q155" s="244"/>
      <c r="R155" s="244"/>
      <c r="S155" s="244"/>
      <c r="T155" s="244"/>
      <c r="U155" s="244"/>
    </row>
    <row r="156" spans="2:21" ht="12.5">
      <c r="C156" s="350" t="s">
        <v>75</v>
      </c>
      <c r="D156" s="295"/>
      <c r="E156" s="295">
        <f>SUM(E100:E155)</f>
        <v>7210308.9500000002</v>
      </c>
      <c r="F156" s="295"/>
      <c r="G156" s="295"/>
      <c r="H156" s="295">
        <f>SUM(H100:H155)</f>
        <v>17229495.020932723</v>
      </c>
      <c r="I156" s="295">
        <f>SUM(I100:I155)</f>
        <v>17229495.020932723</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41" priority="1" stopIfTrue="1" operator="equal">
      <formula>$I$10</formula>
    </cfRule>
  </conditionalFormatting>
  <conditionalFormatting sqref="C100:C155">
    <cfRule type="cellIs" dxfId="40"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3">
    <tabColor theme="9" tint="0.39997558519241921"/>
  </sheetPr>
  <dimension ref="A1:U163"/>
  <sheetViews>
    <sheetView topLeftCell="A66" zoomScaleNormal="100" zoomScaleSheetLayoutView="78"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11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2497588.3440501089</v>
      </c>
      <c r="P5" s="244"/>
      <c r="R5" s="244"/>
      <c r="S5" s="244"/>
      <c r="T5" s="244"/>
      <c r="U5" s="244"/>
    </row>
    <row r="6" spans="1:21" ht="15.5">
      <c r="C6" s="236"/>
      <c r="D6" s="293"/>
      <c r="E6" s="244"/>
      <c r="F6" s="244"/>
      <c r="G6" s="244"/>
      <c r="H6" s="450"/>
      <c r="I6" s="450"/>
      <c r="J6" s="451"/>
      <c r="K6" s="452" t="s">
        <v>243</v>
      </c>
      <c r="L6" s="453"/>
      <c r="M6" s="279"/>
      <c r="N6" s="454">
        <f>VLOOKUP(I10,C17:I73,6)</f>
        <v>2497588.3440501089</v>
      </c>
      <c r="O6" s="244"/>
      <c r="P6" s="244"/>
      <c r="R6" s="244"/>
      <c r="S6" s="244"/>
      <c r="T6" s="244"/>
      <c r="U6" s="244"/>
    </row>
    <row r="7" spans="1:21" ht="13.5" thickBot="1">
      <c r="C7" s="455" t="s">
        <v>46</v>
      </c>
      <c r="D7" s="456" t="s">
        <v>222</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221</v>
      </c>
      <c r="E9" s="466"/>
      <c r="F9" s="466"/>
      <c r="G9" s="466"/>
      <c r="H9" s="466"/>
      <c r="I9" s="467"/>
      <c r="J9" s="468"/>
      <c r="O9" s="469"/>
      <c r="P9" s="279"/>
      <c r="R9" s="244"/>
      <c r="S9" s="244"/>
      <c r="T9" s="244"/>
      <c r="U9" s="244"/>
    </row>
    <row r="10" spans="1:21" ht="13">
      <c r="C10" s="470" t="s">
        <v>49</v>
      </c>
      <c r="D10" s="471">
        <v>20242585.050000001</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11</v>
      </c>
      <c r="E12" s="473" t="s">
        <v>55</v>
      </c>
      <c r="F12" s="409"/>
      <c r="G12" s="221"/>
      <c r="H12" s="221"/>
      <c r="I12" s="477">
        <f>'OKT.WS.F.BPU.ATRR.Projected'!$F$78</f>
        <v>0.11475877389767174</v>
      </c>
      <c r="J12" s="414"/>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613411.66818181821</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2014</v>
      </c>
      <c r="D17" s="613">
        <v>19043679.66</v>
      </c>
      <c r="E17" s="621">
        <v>27453.384639991029</v>
      </c>
      <c r="F17" s="613">
        <v>19016226.275360011</v>
      </c>
      <c r="G17" s="621">
        <v>376170.81030765898</v>
      </c>
      <c r="H17" s="618">
        <v>376170.81030765898</v>
      </c>
      <c r="I17" s="585">
        <v>0</v>
      </c>
      <c r="J17" s="501"/>
      <c r="K17" s="502">
        <f t="shared" ref="K17:K22" si="1">G17</f>
        <v>376170.81030765898</v>
      </c>
      <c r="L17" s="503">
        <f t="shared" ref="L17:L22" si="2">IF(K17&lt;&gt;0,+G17-K17,0)</f>
        <v>0</v>
      </c>
      <c r="M17" s="502">
        <f t="shared" ref="M17:M22" si="3">H17</f>
        <v>376170.81030765898</v>
      </c>
      <c r="N17" s="504">
        <f>IF(M17&lt;&gt;0,+H17-M17,0)</f>
        <v>0</v>
      </c>
      <c r="O17" s="505">
        <f>+N17-L17</f>
        <v>0</v>
      </c>
      <c r="P17" s="279"/>
      <c r="R17" s="244"/>
      <c r="S17" s="244"/>
      <c r="T17" s="244"/>
      <c r="U17" s="244"/>
    </row>
    <row r="18" spans="2:21" ht="12.5">
      <c r="B18" s="145" t="str">
        <f t="shared" si="0"/>
        <v/>
      </c>
      <c r="C18" s="496">
        <f>IF(D11="","-",+C17+1)</f>
        <v>2015</v>
      </c>
      <c r="D18" s="615">
        <v>19016226.275360011</v>
      </c>
      <c r="E18" s="614">
        <v>329440.61567989236</v>
      </c>
      <c r="F18" s="615">
        <v>18686785.659680117</v>
      </c>
      <c r="G18" s="614">
        <v>2255402.3674066337</v>
      </c>
      <c r="H18" s="618">
        <v>2255402.3674066337</v>
      </c>
      <c r="I18" s="501">
        <v>0</v>
      </c>
      <c r="J18" s="501"/>
      <c r="K18" s="507">
        <f t="shared" si="1"/>
        <v>2255402.3674066337</v>
      </c>
      <c r="L18" s="508">
        <f t="shared" si="2"/>
        <v>0</v>
      </c>
      <c r="M18" s="507">
        <f t="shared" si="3"/>
        <v>2255402.3674066337</v>
      </c>
      <c r="N18" s="505">
        <f>IF(M18&lt;&gt;0,+H18-M18,0)</f>
        <v>0</v>
      </c>
      <c r="O18" s="505">
        <f>+N18-L18</f>
        <v>0</v>
      </c>
      <c r="P18" s="279"/>
      <c r="R18" s="244"/>
      <c r="S18" s="244"/>
      <c r="T18" s="244"/>
      <c r="U18" s="244"/>
    </row>
    <row r="19" spans="2:21" ht="12.5">
      <c r="B19" s="145" t="str">
        <f t="shared" si="0"/>
        <v>IU</v>
      </c>
      <c r="C19" s="496">
        <f>IF(D11="","-",+C18+1)</f>
        <v>2016</v>
      </c>
      <c r="D19" s="615">
        <v>19821118.999680117</v>
      </c>
      <c r="E19" s="614">
        <v>419288.09601556091</v>
      </c>
      <c r="F19" s="615">
        <v>19401830.903664555</v>
      </c>
      <c r="G19" s="614">
        <v>2512364.7940132553</v>
      </c>
      <c r="H19" s="618">
        <v>2512364.7940132553</v>
      </c>
      <c r="I19" s="501">
        <f>H19-G19</f>
        <v>0</v>
      </c>
      <c r="J19" s="501"/>
      <c r="K19" s="507">
        <f t="shared" si="1"/>
        <v>2512364.7940132553</v>
      </c>
      <c r="L19" s="508">
        <f t="shared" si="2"/>
        <v>0</v>
      </c>
      <c r="M19" s="507">
        <f t="shared" si="3"/>
        <v>2512364.7940132553</v>
      </c>
      <c r="N19" s="505">
        <f t="shared" ref="N19:N73" si="4">IF(M19&lt;&gt;0,+H19-M19,0)</f>
        <v>0</v>
      </c>
      <c r="O19" s="505">
        <f t="shared" ref="O19:O73" si="5">+N19-L19</f>
        <v>0</v>
      </c>
      <c r="P19" s="279"/>
      <c r="R19" s="244"/>
      <c r="S19" s="244"/>
      <c r="T19" s="244"/>
      <c r="U19" s="244"/>
    </row>
    <row r="20" spans="2:21" ht="12.5">
      <c r="B20" s="145" t="str">
        <f t="shared" si="0"/>
        <v>IU</v>
      </c>
      <c r="C20" s="496">
        <f>IF(D11="","-",+C19+1)</f>
        <v>2017</v>
      </c>
      <c r="D20" s="615">
        <v>19471877.903664555</v>
      </c>
      <c r="E20" s="614">
        <v>398116.94637922302</v>
      </c>
      <c r="F20" s="615">
        <v>19073760.957285333</v>
      </c>
      <c r="G20" s="614">
        <v>2516970.1817795802</v>
      </c>
      <c r="H20" s="618">
        <v>2516970.1817795802</v>
      </c>
      <c r="I20" s="501">
        <f t="shared" ref="I20:I73" si="6">H20-G20</f>
        <v>0</v>
      </c>
      <c r="J20" s="501"/>
      <c r="K20" s="507">
        <f t="shared" si="1"/>
        <v>2516970.1817795802</v>
      </c>
      <c r="L20" s="508">
        <f t="shared" si="2"/>
        <v>0</v>
      </c>
      <c r="M20" s="507">
        <f t="shared" si="3"/>
        <v>2516970.1817795802</v>
      </c>
      <c r="N20" s="505">
        <f>IF(M20&lt;&gt;0,+H20-M20,0)</f>
        <v>0</v>
      </c>
      <c r="O20" s="505">
        <f>+N20-L20</f>
        <v>0</v>
      </c>
      <c r="P20" s="279"/>
      <c r="R20" s="244"/>
      <c r="S20" s="244"/>
      <c r="T20" s="244"/>
      <c r="U20" s="244"/>
    </row>
    <row r="21" spans="2:21" ht="12.5">
      <c r="B21" s="145" t="str">
        <f t="shared" si="0"/>
        <v/>
      </c>
      <c r="C21" s="496">
        <f>IF(D11="","-",+C20+1)</f>
        <v>2018</v>
      </c>
      <c r="D21" s="615">
        <v>19073760.957285333</v>
      </c>
      <c r="E21" s="614">
        <v>496575.20652112603</v>
      </c>
      <c r="F21" s="615">
        <v>18577185.750764206</v>
      </c>
      <c r="G21" s="614">
        <v>2409688.5146536361</v>
      </c>
      <c r="H21" s="618">
        <v>2409688.5146536361</v>
      </c>
      <c r="I21" s="501">
        <v>0</v>
      </c>
      <c r="J21" s="501"/>
      <c r="K21" s="507">
        <f t="shared" si="1"/>
        <v>2409688.5146536361</v>
      </c>
      <c r="L21" s="508">
        <f t="shared" si="2"/>
        <v>0</v>
      </c>
      <c r="M21" s="507">
        <f t="shared" si="3"/>
        <v>2409688.5146536361</v>
      </c>
      <c r="N21" s="505">
        <f>IF(M21&lt;&gt;0,+H21-M21,0)</f>
        <v>0</v>
      </c>
      <c r="O21" s="505">
        <f>+N21-L21</f>
        <v>0</v>
      </c>
      <c r="P21" s="279"/>
      <c r="R21" s="244"/>
      <c r="S21" s="244"/>
      <c r="T21" s="244"/>
      <c r="U21" s="244"/>
    </row>
    <row r="22" spans="2:21" ht="12.5">
      <c r="B22" s="145" t="str">
        <f t="shared" si="0"/>
        <v/>
      </c>
      <c r="C22" s="496">
        <f>IF(D11="","-",+C21+1)</f>
        <v>2019</v>
      </c>
      <c r="D22" s="615">
        <v>18577185.750764206</v>
      </c>
      <c r="E22" s="614">
        <v>600534.11201085045</v>
      </c>
      <c r="F22" s="615">
        <v>17976651.638753355</v>
      </c>
      <c r="G22" s="614">
        <v>2500163.2849116144</v>
      </c>
      <c r="H22" s="618">
        <v>2500163.2849116144</v>
      </c>
      <c r="I22" s="501">
        <f t="shared" si="6"/>
        <v>0</v>
      </c>
      <c r="J22" s="501"/>
      <c r="K22" s="507">
        <f t="shared" si="1"/>
        <v>2500163.2849116144</v>
      </c>
      <c r="L22" s="508">
        <f t="shared" si="2"/>
        <v>0</v>
      </c>
      <c r="M22" s="507">
        <f t="shared" si="3"/>
        <v>2500163.2849116144</v>
      </c>
      <c r="N22" s="505">
        <f>IF(M22&lt;&gt;0,+H22-M22,0)</f>
        <v>0</v>
      </c>
      <c r="O22" s="505">
        <f>+N22-L22</f>
        <v>0</v>
      </c>
      <c r="P22" s="279"/>
      <c r="R22" s="244"/>
      <c r="S22" s="244"/>
      <c r="T22" s="244"/>
      <c r="U22" s="244"/>
    </row>
    <row r="23" spans="2:21" ht="12.5">
      <c r="B23" s="145" t="str">
        <f t="shared" si="0"/>
        <v>IU</v>
      </c>
      <c r="C23" s="496">
        <f>IF(D11="","-",+C22+1)</f>
        <v>2020</v>
      </c>
      <c r="D23" s="615">
        <v>18080586.019661143</v>
      </c>
      <c r="E23" s="614">
        <v>592899.2478612588</v>
      </c>
      <c r="F23" s="615">
        <v>17487686.771799885</v>
      </c>
      <c r="G23" s="614">
        <v>2459032.5411911216</v>
      </c>
      <c r="H23" s="618">
        <v>2459032.5411911216</v>
      </c>
      <c r="I23" s="501">
        <f t="shared" si="6"/>
        <v>0</v>
      </c>
      <c r="J23" s="501"/>
      <c r="K23" s="507">
        <f t="shared" ref="K23" si="7">G23</f>
        <v>2459032.5411911216</v>
      </c>
      <c r="L23" s="508">
        <f t="shared" ref="L23" si="8">IF(K23&lt;&gt;0,+G23-K23,0)</f>
        <v>0</v>
      </c>
      <c r="M23" s="507">
        <f t="shared" ref="M23" si="9">H23</f>
        <v>2459032.5411911216</v>
      </c>
      <c r="N23" s="505">
        <f t="shared" si="4"/>
        <v>0</v>
      </c>
      <c r="O23" s="505">
        <f t="shared" si="5"/>
        <v>0</v>
      </c>
      <c r="P23" s="279"/>
      <c r="R23" s="244"/>
      <c r="S23" s="244"/>
      <c r="T23" s="244"/>
      <c r="U23" s="244"/>
    </row>
    <row r="24" spans="2:21" ht="12.5">
      <c r="B24" s="145" t="str">
        <f t="shared" si="0"/>
        <v>IU</v>
      </c>
      <c r="C24" s="496">
        <f>IF(D11="","-",+C23+1)</f>
        <v>2021</v>
      </c>
      <c r="D24" s="615">
        <v>17378277.390892096</v>
      </c>
      <c r="E24" s="614">
        <v>652986.61290322582</v>
      </c>
      <c r="F24" s="615">
        <v>16725290.77798887</v>
      </c>
      <c r="G24" s="614">
        <v>2497735.0197140798</v>
      </c>
      <c r="H24" s="618">
        <v>2497735.0197140798</v>
      </c>
      <c r="I24" s="501">
        <f t="shared" si="6"/>
        <v>0</v>
      </c>
      <c r="J24" s="501"/>
      <c r="K24" s="507">
        <f t="shared" ref="K24" si="10">G24</f>
        <v>2497735.0197140798</v>
      </c>
      <c r="L24" s="508">
        <f t="shared" ref="L24" si="11">IF(K24&lt;&gt;0,+G24-K24,0)</f>
        <v>0</v>
      </c>
      <c r="M24" s="507">
        <f t="shared" ref="M24" si="12">H24</f>
        <v>2497735.0197140798</v>
      </c>
      <c r="N24" s="505">
        <f t="shared" si="4"/>
        <v>0</v>
      </c>
      <c r="O24" s="505">
        <f t="shared" si="5"/>
        <v>0</v>
      </c>
      <c r="P24" s="279"/>
      <c r="R24" s="244"/>
      <c r="S24" s="244"/>
      <c r="T24" s="244"/>
      <c r="U24" s="244"/>
    </row>
    <row r="25" spans="2:21" ht="12.5">
      <c r="B25" s="145" t="str">
        <f t="shared" si="0"/>
        <v/>
      </c>
      <c r="C25" s="496">
        <f>IF(D11="","-",+C24+1)</f>
        <v>2022</v>
      </c>
      <c r="D25" s="615">
        <v>16725290.77798887</v>
      </c>
      <c r="E25" s="614">
        <v>613411.66666666663</v>
      </c>
      <c r="F25" s="615">
        <v>16111879.111322204</v>
      </c>
      <c r="G25" s="614">
        <v>2497588.3440501089</v>
      </c>
      <c r="H25" s="618">
        <v>2497588.3440501089</v>
      </c>
      <c r="I25" s="501">
        <f t="shared" si="6"/>
        <v>0</v>
      </c>
      <c r="J25" s="501"/>
      <c r="K25" s="507">
        <f t="shared" ref="K25" si="13">G25</f>
        <v>2497588.3440501089</v>
      </c>
      <c r="L25" s="508">
        <f t="shared" ref="L25" si="14">IF(K25&lt;&gt;0,+G25-K25,0)</f>
        <v>0</v>
      </c>
      <c r="M25" s="507">
        <f t="shared" ref="M25" si="15">H25</f>
        <v>2497588.3440501089</v>
      </c>
      <c r="N25" s="505">
        <f t="shared" si="4"/>
        <v>0</v>
      </c>
      <c r="O25" s="505">
        <f t="shared" si="5"/>
        <v>0</v>
      </c>
      <c r="P25" s="279"/>
      <c r="R25" s="244"/>
      <c r="S25" s="244"/>
      <c r="T25" s="244"/>
      <c r="U25" s="244"/>
    </row>
    <row r="26" spans="2:21" ht="12.5">
      <c r="B26" s="145" t="str">
        <f t="shared" si="0"/>
        <v>IU</v>
      </c>
      <c r="C26" s="496">
        <f>IF(D11="","-",+C25+1)</f>
        <v>2023</v>
      </c>
      <c r="D26" s="615">
        <v>16111879.161322206</v>
      </c>
      <c r="E26" s="614">
        <v>652986.61451612902</v>
      </c>
      <c r="F26" s="615">
        <v>15458892.546806077</v>
      </c>
      <c r="G26" s="614">
        <v>2437253.8454477098</v>
      </c>
      <c r="H26" s="618">
        <v>2437253.8454477098</v>
      </c>
      <c r="I26" s="501">
        <f t="shared" si="6"/>
        <v>0</v>
      </c>
      <c r="J26" s="501"/>
      <c r="K26" s="507">
        <f t="shared" ref="K26" si="16">G26</f>
        <v>2437253.8454477098</v>
      </c>
      <c r="L26" s="508">
        <f t="shared" ref="L26" si="17">IF(K26&lt;&gt;0,+G26-K26,0)</f>
        <v>0</v>
      </c>
      <c r="M26" s="507">
        <f t="shared" ref="M26" si="18">H26</f>
        <v>2437253.8454477098</v>
      </c>
      <c r="N26" s="505">
        <f t="shared" si="4"/>
        <v>0</v>
      </c>
      <c r="O26" s="505">
        <f t="shared" si="5"/>
        <v>0</v>
      </c>
      <c r="P26" s="279"/>
      <c r="R26" s="244"/>
      <c r="S26" s="244"/>
      <c r="T26" s="244"/>
      <c r="U26" s="244"/>
    </row>
    <row r="27" spans="2:21" ht="12.5">
      <c r="B27" s="145" t="str">
        <f t="shared" si="0"/>
        <v/>
      </c>
      <c r="C27" s="496">
        <f>IF(D11="","-",+C26+1)</f>
        <v>2024</v>
      </c>
      <c r="D27" s="509">
        <f>IF(F26+SUM(E$17:E26)=D$10,F26,D$10-SUM(E$17:E26))</f>
        <v>15458892.546806077</v>
      </c>
      <c r="E27" s="510">
        <f t="shared" ref="E27:E73" si="19">IF(+$I$14&lt;F26,$I$14,D27)</f>
        <v>613411.66818181821</v>
      </c>
      <c r="F27" s="511">
        <f t="shared" ref="F27:F73" si="20">+D27-E27</f>
        <v>14845480.878624259</v>
      </c>
      <c r="G27" s="512">
        <f t="shared" ref="G27:G73" si="21">(D27+F27)/2*I$12+E27</f>
        <v>2352258.0372016039</v>
      </c>
      <c r="H27" s="478">
        <f t="shared" ref="H27:H73" si="22">+(D27+F27)/2*I$13+E27</f>
        <v>2352258.0372016039</v>
      </c>
      <c r="I27" s="501">
        <f t="shared" si="6"/>
        <v>0</v>
      </c>
      <c r="J27" s="501"/>
      <c r="K27" s="513"/>
      <c r="L27" s="505">
        <f t="shared" ref="L27:L73" si="23">IF(K27&lt;&gt;0,+G27-K27,0)</f>
        <v>0</v>
      </c>
      <c r="M27" s="513"/>
      <c r="N27" s="505">
        <f t="shared" si="4"/>
        <v>0</v>
      </c>
      <c r="O27" s="505">
        <f t="shared" si="5"/>
        <v>0</v>
      </c>
      <c r="P27" s="279"/>
      <c r="R27" s="244"/>
      <c r="S27" s="244"/>
      <c r="T27" s="244"/>
      <c r="U27" s="244"/>
    </row>
    <row r="28" spans="2:21" ht="12.5">
      <c r="B28" s="145" t="str">
        <f t="shared" si="0"/>
        <v/>
      </c>
      <c r="C28" s="496">
        <f>IF(D11="","-",+C27+1)</f>
        <v>2025</v>
      </c>
      <c r="D28" s="509">
        <f>IF(F27+SUM(E$17:E27)=D$10,F27,D$10-SUM(E$17:E27))</f>
        <v>14845480.878624259</v>
      </c>
      <c r="E28" s="510">
        <f t="shared" si="19"/>
        <v>613411.66818181821</v>
      </c>
      <c r="F28" s="511">
        <f t="shared" si="20"/>
        <v>14232069.210442441</v>
      </c>
      <c r="G28" s="512">
        <f t="shared" si="21"/>
        <v>2281863.6662665335</v>
      </c>
      <c r="H28" s="478">
        <f t="shared" si="22"/>
        <v>2281863.6662665335</v>
      </c>
      <c r="I28" s="501">
        <f t="shared" si="6"/>
        <v>0</v>
      </c>
      <c r="J28" s="501"/>
      <c r="K28" s="513"/>
      <c r="L28" s="505">
        <f t="shared" si="23"/>
        <v>0</v>
      </c>
      <c r="M28" s="513"/>
      <c r="N28" s="505">
        <f t="shared" si="4"/>
        <v>0</v>
      </c>
      <c r="O28" s="505">
        <f t="shared" si="5"/>
        <v>0</v>
      </c>
      <c r="P28" s="279"/>
      <c r="R28" s="244"/>
      <c r="S28" s="244"/>
      <c r="T28" s="244"/>
      <c r="U28" s="244"/>
    </row>
    <row r="29" spans="2:21" ht="12.5">
      <c r="B29" s="145" t="str">
        <f t="shared" si="0"/>
        <v/>
      </c>
      <c r="C29" s="496">
        <f>IF(D11="","-",+C28+1)</f>
        <v>2026</v>
      </c>
      <c r="D29" s="509">
        <f>IF(F28+SUM(E$17:E28)=D$10,F28,D$10-SUM(E$17:E28))</f>
        <v>14232069.210442441</v>
      </c>
      <c r="E29" s="510">
        <f t="shared" si="19"/>
        <v>613411.66818181821</v>
      </c>
      <c r="F29" s="511">
        <f t="shared" si="20"/>
        <v>13618657.542260623</v>
      </c>
      <c r="G29" s="512">
        <f t="shared" si="21"/>
        <v>2211469.2953314623</v>
      </c>
      <c r="H29" s="478">
        <f t="shared" si="22"/>
        <v>2211469.2953314623</v>
      </c>
      <c r="I29" s="501">
        <f t="shared" si="6"/>
        <v>0</v>
      </c>
      <c r="J29" s="501"/>
      <c r="K29" s="513"/>
      <c r="L29" s="505">
        <f t="shared" si="23"/>
        <v>0</v>
      </c>
      <c r="M29" s="513"/>
      <c r="N29" s="505">
        <f t="shared" si="4"/>
        <v>0</v>
      </c>
      <c r="O29" s="505">
        <f t="shared" si="5"/>
        <v>0</v>
      </c>
      <c r="P29" s="279"/>
      <c r="R29" s="244"/>
      <c r="S29" s="244"/>
      <c r="T29" s="244"/>
      <c r="U29" s="244"/>
    </row>
    <row r="30" spans="2:21" ht="12.5">
      <c r="B30" s="145" t="str">
        <f t="shared" si="0"/>
        <v/>
      </c>
      <c r="C30" s="496">
        <f>IF(D11="","-",+C29+1)</f>
        <v>2027</v>
      </c>
      <c r="D30" s="509">
        <f>IF(F29+SUM(E$17:E29)=D$10,F29,D$10-SUM(E$17:E29))</f>
        <v>13618657.542260623</v>
      </c>
      <c r="E30" s="510">
        <f t="shared" si="19"/>
        <v>613411.66818181821</v>
      </c>
      <c r="F30" s="511">
        <f t="shared" si="20"/>
        <v>13005245.874078805</v>
      </c>
      <c r="G30" s="512">
        <f t="shared" si="21"/>
        <v>2141074.9243963915</v>
      </c>
      <c r="H30" s="478">
        <f t="shared" si="22"/>
        <v>2141074.9243963915</v>
      </c>
      <c r="I30" s="501">
        <f t="shared" si="6"/>
        <v>0</v>
      </c>
      <c r="J30" s="501"/>
      <c r="K30" s="513"/>
      <c r="L30" s="505">
        <f t="shared" si="23"/>
        <v>0</v>
      </c>
      <c r="M30" s="513"/>
      <c r="N30" s="505">
        <f t="shared" si="4"/>
        <v>0</v>
      </c>
      <c r="O30" s="505">
        <f t="shared" si="5"/>
        <v>0</v>
      </c>
      <c r="P30" s="279"/>
      <c r="R30" s="244"/>
      <c r="S30" s="244"/>
      <c r="T30" s="244"/>
      <c r="U30" s="244"/>
    </row>
    <row r="31" spans="2:21" ht="12.5">
      <c r="B31" s="145" t="str">
        <f t="shared" si="0"/>
        <v/>
      </c>
      <c r="C31" s="496">
        <f>IF(D11="","-",+C30+1)</f>
        <v>2028</v>
      </c>
      <c r="D31" s="509">
        <f>IF(F30+SUM(E$17:E30)=D$10,F30,D$10-SUM(E$17:E30))</f>
        <v>13005245.874078805</v>
      </c>
      <c r="E31" s="510">
        <f t="shared" si="19"/>
        <v>613411.66818181821</v>
      </c>
      <c r="F31" s="511">
        <f t="shared" si="20"/>
        <v>12391834.205896987</v>
      </c>
      <c r="G31" s="512">
        <f t="shared" si="21"/>
        <v>2070680.5534613205</v>
      </c>
      <c r="H31" s="478">
        <f t="shared" si="22"/>
        <v>2070680.5534613205</v>
      </c>
      <c r="I31" s="501">
        <f t="shared" si="6"/>
        <v>0</v>
      </c>
      <c r="J31" s="501"/>
      <c r="K31" s="513"/>
      <c r="L31" s="505">
        <f t="shared" si="23"/>
        <v>0</v>
      </c>
      <c r="M31" s="513"/>
      <c r="N31" s="505">
        <f t="shared" si="4"/>
        <v>0</v>
      </c>
      <c r="O31" s="505">
        <f t="shared" si="5"/>
        <v>0</v>
      </c>
      <c r="P31" s="279"/>
      <c r="Q31" s="221"/>
      <c r="R31" s="279"/>
      <c r="S31" s="279"/>
      <c r="T31" s="279"/>
      <c r="U31" s="244"/>
    </row>
    <row r="32" spans="2:21" ht="12.5">
      <c r="B32" s="145" t="str">
        <f t="shared" si="0"/>
        <v/>
      </c>
      <c r="C32" s="496">
        <f>IF(D12="","-",+C31+1)</f>
        <v>2029</v>
      </c>
      <c r="D32" s="509">
        <f>IF(F31+SUM(E$17:E31)=D$10,F31,D$10-SUM(E$17:E31))</f>
        <v>12391834.205896987</v>
      </c>
      <c r="E32" s="510">
        <f>IF(+$I$14&lt;F31,$I$14,D32)</f>
        <v>613411.66818181821</v>
      </c>
      <c r="F32" s="511">
        <f>+D32-E32</f>
        <v>11778422.537715169</v>
      </c>
      <c r="G32" s="512">
        <f t="shared" si="21"/>
        <v>2000286.1825262497</v>
      </c>
      <c r="H32" s="478">
        <f t="shared" si="22"/>
        <v>2000286.1825262497</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2030</v>
      </c>
      <c r="D33" s="509">
        <f>IF(F32+SUM(E$17:E32)=D$10,F32,D$10-SUM(E$17:E32))</f>
        <v>11778422.537715169</v>
      </c>
      <c r="E33" s="510">
        <f>IF(+$I$14&lt;F32,$I$14,D33)</f>
        <v>613411.66818181821</v>
      </c>
      <c r="F33" s="511">
        <f>+D33-E33</f>
        <v>11165010.869533351</v>
      </c>
      <c r="G33" s="512">
        <f t="shared" si="21"/>
        <v>1929891.8115911789</v>
      </c>
      <c r="H33" s="478">
        <f t="shared" si="22"/>
        <v>1929891.8115911789</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2031</v>
      </c>
      <c r="D34" s="515">
        <f>IF(F33+SUM(E$17:E33)=D$10,F33,D$10-SUM(E$17:E33))</f>
        <v>11165010.869533351</v>
      </c>
      <c r="E34" s="516">
        <f t="shared" si="19"/>
        <v>613411.66818181821</v>
      </c>
      <c r="F34" s="517">
        <f t="shared" si="20"/>
        <v>10551599.201351533</v>
      </c>
      <c r="G34" s="512">
        <f t="shared" si="21"/>
        <v>1859497.4406561079</v>
      </c>
      <c r="H34" s="478">
        <f t="shared" si="22"/>
        <v>1859497.4406561079</v>
      </c>
      <c r="I34" s="520">
        <f t="shared" si="6"/>
        <v>0</v>
      </c>
      <c r="J34" s="520"/>
      <c r="K34" s="521"/>
      <c r="L34" s="522">
        <f t="shared" si="23"/>
        <v>0</v>
      </c>
      <c r="M34" s="521"/>
      <c r="N34" s="522">
        <f t="shared" si="4"/>
        <v>0</v>
      </c>
      <c r="O34" s="522">
        <f t="shared" si="5"/>
        <v>0</v>
      </c>
      <c r="P34" s="523"/>
      <c r="Q34" s="217"/>
      <c r="R34" s="523"/>
      <c r="S34" s="523"/>
      <c r="T34" s="523"/>
      <c r="U34" s="244"/>
    </row>
    <row r="35" spans="2:21" ht="12.5">
      <c r="B35" s="145" t="str">
        <f t="shared" si="0"/>
        <v/>
      </c>
      <c r="C35" s="496">
        <f>IF(D11="","-",+C34+1)</f>
        <v>2032</v>
      </c>
      <c r="D35" s="509">
        <f>IF(F34+SUM(E$17:E34)=D$10,F34,D$10-SUM(E$17:E34))</f>
        <v>10551599.201351533</v>
      </c>
      <c r="E35" s="510">
        <f t="shared" si="19"/>
        <v>613411.66818181821</v>
      </c>
      <c r="F35" s="511">
        <f t="shared" si="20"/>
        <v>9938187.5331697147</v>
      </c>
      <c r="G35" s="512">
        <f t="shared" si="21"/>
        <v>1789103.0697210371</v>
      </c>
      <c r="H35" s="478">
        <f t="shared" si="22"/>
        <v>1789103.0697210371</v>
      </c>
      <c r="I35" s="501">
        <f t="shared" si="6"/>
        <v>0</v>
      </c>
      <c r="J35" s="501"/>
      <c r="K35" s="513"/>
      <c r="L35" s="505">
        <f t="shared" si="23"/>
        <v>0</v>
      </c>
      <c r="M35" s="513"/>
      <c r="N35" s="505">
        <f t="shared" si="4"/>
        <v>0</v>
      </c>
      <c r="O35" s="505">
        <f t="shared" si="5"/>
        <v>0</v>
      </c>
      <c r="P35" s="279"/>
      <c r="R35" s="244"/>
      <c r="S35" s="244"/>
      <c r="T35" s="244"/>
      <c r="U35" s="244"/>
    </row>
    <row r="36" spans="2:21" ht="12.5">
      <c r="B36" s="145" t="str">
        <f t="shared" si="0"/>
        <v/>
      </c>
      <c r="C36" s="496">
        <f>IF(D11="","-",+C35+1)</f>
        <v>2033</v>
      </c>
      <c r="D36" s="509">
        <f>IF(F35+SUM(E$17:E35)=D$10,F35,D$10-SUM(E$17:E35))</f>
        <v>9938187.5331697147</v>
      </c>
      <c r="E36" s="510">
        <f t="shared" si="19"/>
        <v>613411.66818181821</v>
      </c>
      <c r="F36" s="511">
        <f t="shared" si="20"/>
        <v>9324775.8649878968</v>
      </c>
      <c r="G36" s="512">
        <f t="shared" si="21"/>
        <v>1718708.698785966</v>
      </c>
      <c r="H36" s="478">
        <f t="shared" si="22"/>
        <v>1718708.698785966</v>
      </c>
      <c r="I36" s="501">
        <f t="shared" si="6"/>
        <v>0</v>
      </c>
      <c r="J36" s="501"/>
      <c r="K36" s="513"/>
      <c r="L36" s="505">
        <f t="shared" si="23"/>
        <v>0</v>
      </c>
      <c r="M36" s="513"/>
      <c r="N36" s="505">
        <f t="shared" si="4"/>
        <v>0</v>
      </c>
      <c r="O36" s="505">
        <f t="shared" si="5"/>
        <v>0</v>
      </c>
      <c r="P36" s="279"/>
      <c r="R36" s="244"/>
      <c r="S36" s="244"/>
      <c r="T36" s="244"/>
      <c r="U36" s="244"/>
    </row>
    <row r="37" spans="2:21" ht="12.5">
      <c r="B37" s="145" t="str">
        <f t="shared" si="0"/>
        <v/>
      </c>
      <c r="C37" s="496">
        <f>IF(D11="","-",+C36+1)</f>
        <v>2034</v>
      </c>
      <c r="D37" s="509">
        <f>IF(F36+SUM(E$17:E36)=D$10,F36,D$10-SUM(E$17:E36))</f>
        <v>9324775.8649878968</v>
      </c>
      <c r="E37" s="510">
        <f t="shared" si="19"/>
        <v>613411.66818181821</v>
      </c>
      <c r="F37" s="511">
        <f t="shared" si="20"/>
        <v>8711364.1968060788</v>
      </c>
      <c r="G37" s="512">
        <f t="shared" si="21"/>
        <v>1648314.3278508952</v>
      </c>
      <c r="H37" s="478">
        <f t="shared" si="22"/>
        <v>1648314.3278508952</v>
      </c>
      <c r="I37" s="501">
        <f t="shared" si="6"/>
        <v>0</v>
      </c>
      <c r="J37" s="501"/>
      <c r="K37" s="513"/>
      <c r="L37" s="505">
        <f t="shared" si="23"/>
        <v>0</v>
      </c>
      <c r="M37" s="513"/>
      <c r="N37" s="505">
        <f t="shared" si="4"/>
        <v>0</v>
      </c>
      <c r="O37" s="505">
        <f t="shared" si="5"/>
        <v>0</v>
      </c>
      <c r="P37" s="279"/>
      <c r="R37" s="244"/>
      <c r="S37" s="244"/>
      <c r="T37" s="244"/>
      <c r="U37" s="244"/>
    </row>
    <row r="38" spans="2:21" ht="12.5">
      <c r="B38" s="145" t="str">
        <f t="shared" si="0"/>
        <v/>
      </c>
      <c r="C38" s="496">
        <f>IF(D11="","-",+C37+1)</f>
        <v>2035</v>
      </c>
      <c r="D38" s="509">
        <f>IF(F37+SUM(E$17:E37)=D$10,F37,D$10-SUM(E$17:E37))</f>
        <v>8711364.1968060788</v>
      </c>
      <c r="E38" s="510">
        <f t="shared" si="19"/>
        <v>613411.66818181821</v>
      </c>
      <c r="F38" s="511">
        <f t="shared" si="20"/>
        <v>8097952.5286242608</v>
      </c>
      <c r="G38" s="512">
        <f t="shared" si="21"/>
        <v>1577919.9569158242</v>
      </c>
      <c r="H38" s="478">
        <f t="shared" si="22"/>
        <v>1577919.9569158242</v>
      </c>
      <c r="I38" s="501">
        <f t="shared" si="6"/>
        <v>0</v>
      </c>
      <c r="J38" s="501"/>
      <c r="K38" s="513"/>
      <c r="L38" s="505">
        <f t="shared" si="23"/>
        <v>0</v>
      </c>
      <c r="M38" s="513"/>
      <c r="N38" s="505">
        <f t="shared" si="4"/>
        <v>0</v>
      </c>
      <c r="O38" s="505">
        <f t="shared" si="5"/>
        <v>0</v>
      </c>
      <c r="P38" s="279"/>
      <c r="R38" s="244"/>
      <c r="S38" s="244"/>
      <c r="T38" s="244"/>
      <c r="U38" s="244"/>
    </row>
    <row r="39" spans="2:21" ht="12.5">
      <c r="B39" s="145" t="str">
        <f t="shared" si="0"/>
        <v/>
      </c>
      <c r="C39" s="496">
        <f>IF(D11="","-",+C38+1)</f>
        <v>2036</v>
      </c>
      <c r="D39" s="509">
        <f>IF(F38+SUM(E$17:E38)=D$10,F38,D$10-SUM(E$17:E38))</f>
        <v>8097952.5286242608</v>
      </c>
      <c r="E39" s="510">
        <f t="shared" si="19"/>
        <v>613411.66818181821</v>
      </c>
      <c r="F39" s="511">
        <f t="shared" si="20"/>
        <v>7484540.8604424428</v>
      </c>
      <c r="G39" s="512">
        <f t="shared" si="21"/>
        <v>1507525.5859807534</v>
      </c>
      <c r="H39" s="478">
        <f t="shared" si="22"/>
        <v>1507525.5859807534</v>
      </c>
      <c r="I39" s="501">
        <f t="shared" si="6"/>
        <v>0</v>
      </c>
      <c r="J39" s="501"/>
      <c r="K39" s="513"/>
      <c r="L39" s="505">
        <f t="shared" si="23"/>
        <v>0</v>
      </c>
      <c r="M39" s="513"/>
      <c r="N39" s="505">
        <f t="shared" si="4"/>
        <v>0</v>
      </c>
      <c r="O39" s="505">
        <f t="shared" si="5"/>
        <v>0</v>
      </c>
      <c r="P39" s="279"/>
      <c r="R39" s="244"/>
      <c r="S39" s="244"/>
      <c r="T39" s="244"/>
      <c r="U39" s="244"/>
    </row>
    <row r="40" spans="2:21" ht="12.5">
      <c r="B40" s="145" t="str">
        <f t="shared" si="0"/>
        <v/>
      </c>
      <c r="C40" s="496">
        <f>IF(D11="","-",+C39+1)</f>
        <v>2037</v>
      </c>
      <c r="D40" s="509">
        <f>IF(F39+SUM(E$17:E39)=D$10,F39,D$10-SUM(E$17:E39))</f>
        <v>7484540.8604424428</v>
      </c>
      <c r="E40" s="510">
        <f t="shared" si="19"/>
        <v>613411.66818181821</v>
      </c>
      <c r="F40" s="511">
        <f t="shared" si="20"/>
        <v>6871129.1922606248</v>
      </c>
      <c r="G40" s="512">
        <f t="shared" si="21"/>
        <v>1437131.2150456826</v>
      </c>
      <c r="H40" s="478">
        <f t="shared" si="22"/>
        <v>1437131.2150456826</v>
      </c>
      <c r="I40" s="501">
        <f t="shared" si="6"/>
        <v>0</v>
      </c>
      <c r="J40" s="501"/>
      <c r="K40" s="513"/>
      <c r="L40" s="505">
        <f t="shared" si="23"/>
        <v>0</v>
      </c>
      <c r="M40" s="513"/>
      <c r="N40" s="505">
        <f t="shared" si="4"/>
        <v>0</v>
      </c>
      <c r="O40" s="505">
        <f t="shared" si="5"/>
        <v>0</v>
      </c>
      <c r="P40" s="279"/>
      <c r="R40" s="244"/>
      <c r="S40" s="244"/>
      <c r="T40" s="244"/>
      <c r="U40" s="244"/>
    </row>
    <row r="41" spans="2:21" ht="12.5">
      <c r="B41" s="145" t="str">
        <f t="shared" si="0"/>
        <v/>
      </c>
      <c r="C41" s="496">
        <f>IF(D12="","-",+C40+1)</f>
        <v>2038</v>
      </c>
      <c r="D41" s="509">
        <f>IF(F40+SUM(E$17:E40)=D$10,F40,D$10-SUM(E$17:E40))</f>
        <v>6871129.1922606248</v>
      </c>
      <c r="E41" s="510">
        <f t="shared" si="19"/>
        <v>613411.66818181821</v>
      </c>
      <c r="F41" s="511">
        <f t="shared" si="20"/>
        <v>6257717.5240788069</v>
      </c>
      <c r="G41" s="512">
        <f t="shared" si="21"/>
        <v>1366736.8441106116</v>
      </c>
      <c r="H41" s="478">
        <f t="shared" si="22"/>
        <v>1366736.8441106116</v>
      </c>
      <c r="I41" s="501">
        <f t="shared" si="6"/>
        <v>0</v>
      </c>
      <c r="J41" s="501"/>
      <c r="K41" s="513"/>
      <c r="L41" s="505">
        <f t="shared" si="23"/>
        <v>0</v>
      </c>
      <c r="M41" s="513"/>
      <c r="N41" s="505">
        <f t="shared" si="4"/>
        <v>0</v>
      </c>
      <c r="O41" s="505">
        <f t="shared" si="5"/>
        <v>0</v>
      </c>
      <c r="P41" s="279"/>
      <c r="R41" s="244"/>
      <c r="S41" s="244"/>
      <c r="T41" s="244"/>
      <c r="U41" s="244"/>
    </row>
    <row r="42" spans="2:21" ht="12.5">
      <c r="B42" s="145" t="str">
        <f t="shared" si="0"/>
        <v/>
      </c>
      <c r="C42" s="496">
        <f>IF(D13="","-",+C41+1)</f>
        <v>2039</v>
      </c>
      <c r="D42" s="509">
        <f>IF(F41+SUM(E$17:E41)=D$10,F41,D$10-SUM(E$17:E41))</f>
        <v>6257717.5240788069</v>
      </c>
      <c r="E42" s="510">
        <f t="shared" si="19"/>
        <v>613411.66818181821</v>
      </c>
      <c r="F42" s="511">
        <f t="shared" si="20"/>
        <v>5644305.8558969889</v>
      </c>
      <c r="G42" s="512">
        <f t="shared" si="21"/>
        <v>1296342.4731755408</v>
      </c>
      <c r="H42" s="478">
        <f t="shared" si="22"/>
        <v>1296342.4731755408</v>
      </c>
      <c r="I42" s="501">
        <f t="shared" si="6"/>
        <v>0</v>
      </c>
      <c r="J42" s="501"/>
      <c r="K42" s="513"/>
      <c r="L42" s="505">
        <f t="shared" si="23"/>
        <v>0</v>
      </c>
      <c r="M42" s="513"/>
      <c r="N42" s="505">
        <f t="shared" si="4"/>
        <v>0</v>
      </c>
      <c r="O42" s="505">
        <f t="shared" si="5"/>
        <v>0</v>
      </c>
      <c r="P42" s="279"/>
      <c r="R42" s="244"/>
      <c r="S42" s="244"/>
      <c r="T42" s="244"/>
      <c r="U42" s="244"/>
    </row>
    <row r="43" spans="2:21" ht="12.5">
      <c r="B43" s="145" t="str">
        <f t="shared" si="0"/>
        <v/>
      </c>
      <c r="C43" s="496">
        <f>IF(D11="","-",+C42+1)</f>
        <v>2040</v>
      </c>
      <c r="D43" s="509">
        <f>IF(F42+SUM(E$17:E42)=D$10,F42,D$10-SUM(E$17:E42))</f>
        <v>5644305.8558969889</v>
      </c>
      <c r="E43" s="510">
        <f t="shared" si="19"/>
        <v>613411.66818181821</v>
      </c>
      <c r="F43" s="511">
        <f t="shared" si="20"/>
        <v>5030894.1877151709</v>
      </c>
      <c r="G43" s="512">
        <f t="shared" si="21"/>
        <v>1225948.1022404698</v>
      </c>
      <c r="H43" s="478">
        <f t="shared" si="22"/>
        <v>1225948.1022404698</v>
      </c>
      <c r="I43" s="501">
        <f t="shared" si="6"/>
        <v>0</v>
      </c>
      <c r="J43" s="501"/>
      <c r="K43" s="513"/>
      <c r="L43" s="505">
        <f t="shared" si="23"/>
        <v>0</v>
      </c>
      <c r="M43" s="513"/>
      <c r="N43" s="505">
        <f t="shared" si="4"/>
        <v>0</v>
      </c>
      <c r="O43" s="505">
        <f t="shared" si="5"/>
        <v>0</v>
      </c>
      <c r="P43" s="279"/>
      <c r="R43" s="244"/>
      <c r="S43" s="244"/>
      <c r="T43" s="244"/>
      <c r="U43" s="244"/>
    </row>
    <row r="44" spans="2:21" ht="12.5">
      <c r="B44" s="145" t="str">
        <f t="shared" si="0"/>
        <v/>
      </c>
      <c r="C44" s="496">
        <f>IF(D11="","-",+C43+1)</f>
        <v>2041</v>
      </c>
      <c r="D44" s="509">
        <f>IF(F43+SUM(E$17:E43)=D$10,F43,D$10-SUM(E$17:E43))</f>
        <v>5030894.1877151709</v>
      </c>
      <c r="E44" s="510">
        <f t="shared" si="19"/>
        <v>613411.66818181821</v>
      </c>
      <c r="F44" s="511">
        <f t="shared" si="20"/>
        <v>4417482.5195333529</v>
      </c>
      <c r="G44" s="512">
        <f t="shared" si="21"/>
        <v>1155553.731305399</v>
      </c>
      <c r="H44" s="478">
        <f t="shared" si="22"/>
        <v>1155553.731305399</v>
      </c>
      <c r="I44" s="501">
        <f t="shared" si="6"/>
        <v>0</v>
      </c>
      <c r="J44" s="501"/>
      <c r="K44" s="513"/>
      <c r="L44" s="505">
        <f t="shared" si="23"/>
        <v>0</v>
      </c>
      <c r="M44" s="513"/>
      <c r="N44" s="505">
        <f t="shared" si="4"/>
        <v>0</v>
      </c>
      <c r="O44" s="505">
        <f t="shared" si="5"/>
        <v>0</v>
      </c>
      <c r="P44" s="279"/>
      <c r="R44" s="244"/>
      <c r="S44" s="244"/>
      <c r="T44" s="244"/>
      <c r="U44" s="244"/>
    </row>
    <row r="45" spans="2:21" ht="12.5">
      <c r="B45" s="145" t="str">
        <f t="shared" si="0"/>
        <v/>
      </c>
      <c r="C45" s="496">
        <f>IF(D11="","-",+C44+1)</f>
        <v>2042</v>
      </c>
      <c r="D45" s="509">
        <f>IF(F44+SUM(E$17:E44)=D$10,F44,D$10-SUM(E$17:E44))</f>
        <v>4417482.5195333529</v>
      </c>
      <c r="E45" s="510">
        <f t="shared" si="19"/>
        <v>613411.66818181821</v>
      </c>
      <c r="F45" s="511">
        <f t="shared" si="20"/>
        <v>3804070.8513515349</v>
      </c>
      <c r="G45" s="512">
        <f t="shared" si="21"/>
        <v>1085159.3603703282</v>
      </c>
      <c r="H45" s="478">
        <f t="shared" si="22"/>
        <v>1085159.3603703282</v>
      </c>
      <c r="I45" s="501">
        <f t="shared" si="6"/>
        <v>0</v>
      </c>
      <c r="J45" s="501"/>
      <c r="K45" s="513"/>
      <c r="L45" s="505">
        <f t="shared" si="23"/>
        <v>0</v>
      </c>
      <c r="M45" s="513"/>
      <c r="N45" s="505">
        <f t="shared" si="4"/>
        <v>0</v>
      </c>
      <c r="O45" s="505">
        <f t="shared" si="5"/>
        <v>0</v>
      </c>
      <c r="P45" s="279"/>
      <c r="R45" s="244"/>
      <c r="S45" s="244"/>
      <c r="T45" s="244"/>
      <c r="U45" s="244"/>
    </row>
    <row r="46" spans="2:21" ht="12.5">
      <c r="B46" s="145" t="str">
        <f t="shared" si="0"/>
        <v/>
      </c>
      <c r="C46" s="496">
        <f>IF(D11="","-",+C45+1)</f>
        <v>2043</v>
      </c>
      <c r="D46" s="509">
        <f>IF(F45+SUM(E$17:E45)=D$10,F45,D$10-SUM(E$17:E45))</f>
        <v>3804070.8513515349</v>
      </c>
      <c r="E46" s="510">
        <f t="shared" si="19"/>
        <v>613411.66818181821</v>
      </c>
      <c r="F46" s="511">
        <f t="shared" si="20"/>
        <v>3190659.183169717</v>
      </c>
      <c r="G46" s="512">
        <f t="shared" si="21"/>
        <v>1014764.9894352572</v>
      </c>
      <c r="H46" s="478">
        <f t="shared" si="22"/>
        <v>1014764.9894352572</v>
      </c>
      <c r="I46" s="501">
        <f t="shared" si="6"/>
        <v>0</v>
      </c>
      <c r="J46" s="501"/>
      <c r="K46" s="513"/>
      <c r="L46" s="505">
        <f t="shared" si="23"/>
        <v>0</v>
      </c>
      <c r="M46" s="513"/>
      <c r="N46" s="505">
        <f t="shared" si="4"/>
        <v>0</v>
      </c>
      <c r="O46" s="505">
        <f t="shared" si="5"/>
        <v>0</v>
      </c>
      <c r="P46" s="279"/>
      <c r="R46" s="244"/>
      <c r="S46" s="244"/>
      <c r="T46" s="244"/>
      <c r="U46" s="244"/>
    </row>
    <row r="47" spans="2:21" ht="12.5">
      <c r="B47" s="145" t="str">
        <f t="shared" si="0"/>
        <v/>
      </c>
      <c r="C47" s="496">
        <f>IF(D11="","-",+C46+1)</f>
        <v>2044</v>
      </c>
      <c r="D47" s="509">
        <f>IF(F46+SUM(E$17:E46)=D$10,F46,D$10-SUM(E$17:E46))</f>
        <v>3190659.183169717</v>
      </c>
      <c r="E47" s="510">
        <f t="shared" si="19"/>
        <v>613411.66818181821</v>
      </c>
      <c r="F47" s="511">
        <f t="shared" si="20"/>
        <v>2577247.514987899</v>
      </c>
      <c r="G47" s="512">
        <f t="shared" si="21"/>
        <v>944370.61850018636</v>
      </c>
      <c r="H47" s="478">
        <f t="shared" si="22"/>
        <v>944370.61850018636</v>
      </c>
      <c r="I47" s="501">
        <f t="shared" si="6"/>
        <v>0</v>
      </c>
      <c r="J47" s="501"/>
      <c r="K47" s="513"/>
      <c r="L47" s="505">
        <f t="shared" si="23"/>
        <v>0</v>
      </c>
      <c r="M47" s="513"/>
      <c r="N47" s="505">
        <f t="shared" si="4"/>
        <v>0</v>
      </c>
      <c r="O47" s="505">
        <f t="shared" si="5"/>
        <v>0</v>
      </c>
      <c r="P47" s="279"/>
      <c r="R47" s="244"/>
      <c r="S47" s="244"/>
      <c r="T47" s="244"/>
      <c r="U47" s="244"/>
    </row>
    <row r="48" spans="2:21" ht="12.5">
      <c r="B48" s="145" t="str">
        <f t="shared" si="0"/>
        <v/>
      </c>
      <c r="C48" s="496">
        <f>IF(D11="","-",+C47+1)</f>
        <v>2045</v>
      </c>
      <c r="D48" s="509">
        <f>IF(F47+SUM(E$17:E47)=D$10,F47,D$10-SUM(E$17:E47))</f>
        <v>2577247.514987899</v>
      </c>
      <c r="E48" s="510">
        <f t="shared" si="19"/>
        <v>613411.66818181821</v>
      </c>
      <c r="F48" s="511">
        <f t="shared" si="20"/>
        <v>1963835.8468060808</v>
      </c>
      <c r="G48" s="512">
        <f t="shared" si="21"/>
        <v>873976.24756511545</v>
      </c>
      <c r="H48" s="478">
        <f t="shared" si="22"/>
        <v>873976.24756511545</v>
      </c>
      <c r="I48" s="501">
        <f t="shared" si="6"/>
        <v>0</v>
      </c>
      <c r="J48" s="501"/>
      <c r="K48" s="513"/>
      <c r="L48" s="505">
        <f t="shared" si="23"/>
        <v>0</v>
      </c>
      <c r="M48" s="513"/>
      <c r="N48" s="505">
        <f t="shared" si="4"/>
        <v>0</v>
      </c>
      <c r="O48" s="505">
        <f t="shared" si="5"/>
        <v>0</v>
      </c>
      <c r="P48" s="279"/>
      <c r="R48" s="244"/>
      <c r="S48" s="244"/>
      <c r="T48" s="244"/>
      <c r="U48" s="244"/>
    </row>
    <row r="49" spans="2:21" ht="12.5">
      <c r="B49" s="145" t="str">
        <f t="shared" si="0"/>
        <v/>
      </c>
      <c r="C49" s="496">
        <f>IF(D11="","-",+C48+1)</f>
        <v>2046</v>
      </c>
      <c r="D49" s="509">
        <f>IF(F48+SUM(E$17:E48)=D$10,F48,D$10-SUM(E$17:E48))</f>
        <v>1963835.8468060808</v>
      </c>
      <c r="E49" s="510">
        <f t="shared" si="19"/>
        <v>613411.66818181821</v>
      </c>
      <c r="F49" s="511">
        <f t="shared" si="20"/>
        <v>1350424.1786242626</v>
      </c>
      <c r="G49" s="512">
        <f t="shared" si="21"/>
        <v>803581.87663004454</v>
      </c>
      <c r="H49" s="478">
        <f t="shared" si="22"/>
        <v>803581.87663004454</v>
      </c>
      <c r="I49" s="501">
        <f t="shared" si="6"/>
        <v>0</v>
      </c>
      <c r="J49" s="501"/>
      <c r="K49" s="513"/>
      <c r="L49" s="505">
        <f t="shared" si="23"/>
        <v>0</v>
      </c>
      <c r="M49" s="513"/>
      <c r="N49" s="505">
        <f t="shared" si="4"/>
        <v>0</v>
      </c>
      <c r="O49" s="505">
        <f t="shared" si="5"/>
        <v>0</v>
      </c>
      <c r="P49" s="279"/>
      <c r="R49" s="244"/>
      <c r="S49" s="244"/>
      <c r="T49" s="244"/>
      <c r="U49" s="244"/>
    </row>
    <row r="50" spans="2:21" ht="12.5">
      <c r="B50" s="145" t="str">
        <f t="shared" si="0"/>
        <v/>
      </c>
      <c r="C50" s="496">
        <f>IF(D11="","-",+C49+1)</f>
        <v>2047</v>
      </c>
      <c r="D50" s="509">
        <f>IF(F49+SUM(E$17:E49)=D$10,F49,D$10-SUM(E$17:E49))</f>
        <v>1350424.1786242626</v>
      </c>
      <c r="E50" s="510">
        <f t="shared" si="19"/>
        <v>613411.66818181821</v>
      </c>
      <c r="F50" s="511">
        <f t="shared" si="20"/>
        <v>737012.51044244436</v>
      </c>
      <c r="G50" s="512">
        <f t="shared" si="21"/>
        <v>733187.50569497352</v>
      </c>
      <c r="H50" s="478">
        <f t="shared" si="22"/>
        <v>733187.50569497352</v>
      </c>
      <c r="I50" s="501">
        <f t="shared" si="6"/>
        <v>0</v>
      </c>
      <c r="J50" s="501"/>
      <c r="K50" s="513"/>
      <c r="L50" s="505">
        <f t="shared" si="23"/>
        <v>0</v>
      </c>
      <c r="M50" s="513"/>
      <c r="N50" s="505">
        <f t="shared" si="4"/>
        <v>0</v>
      </c>
      <c r="O50" s="505">
        <f t="shared" si="5"/>
        <v>0</v>
      </c>
      <c r="P50" s="279"/>
      <c r="R50" s="244"/>
      <c r="S50" s="244"/>
      <c r="T50" s="244"/>
      <c r="U50" s="244"/>
    </row>
    <row r="51" spans="2:21" ht="12.5">
      <c r="B51" s="145" t="str">
        <f t="shared" si="0"/>
        <v/>
      </c>
      <c r="C51" s="496">
        <f>IF(D11="","-",+C50+1)</f>
        <v>2048</v>
      </c>
      <c r="D51" s="509">
        <f>IF(F50+SUM(E$17:E50)=D$10,F50,D$10-SUM(E$17:E50))</f>
        <v>737012.51044244436</v>
      </c>
      <c r="E51" s="510">
        <f t="shared" si="19"/>
        <v>613411.66818181821</v>
      </c>
      <c r="F51" s="511">
        <f t="shared" si="20"/>
        <v>123600.84226062614</v>
      </c>
      <c r="G51" s="512">
        <f t="shared" si="21"/>
        <v>662793.1347599026</v>
      </c>
      <c r="H51" s="478">
        <f t="shared" si="22"/>
        <v>662793.1347599026</v>
      </c>
      <c r="I51" s="501">
        <f t="shared" si="6"/>
        <v>0</v>
      </c>
      <c r="J51" s="501"/>
      <c r="K51" s="513"/>
      <c r="L51" s="505">
        <f t="shared" si="23"/>
        <v>0</v>
      </c>
      <c r="M51" s="513"/>
      <c r="N51" s="505">
        <f t="shared" si="4"/>
        <v>0</v>
      </c>
      <c r="O51" s="505">
        <f t="shared" si="5"/>
        <v>0</v>
      </c>
      <c r="P51" s="279"/>
      <c r="R51" s="244"/>
      <c r="S51" s="244"/>
      <c r="T51" s="244"/>
      <c r="U51" s="244"/>
    </row>
    <row r="52" spans="2:21" ht="12.5">
      <c r="B52" s="145" t="str">
        <f t="shared" si="0"/>
        <v/>
      </c>
      <c r="C52" s="496">
        <f>IF(D11="","-",+C51+1)</f>
        <v>2049</v>
      </c>
      <c r="D52" s="509">
        <f>IF(F51+SUM(E$17:E51)=D$10,F51,D$10-SUM(E$17:E51))</f>
        <v>123600.84226062614</v>
      </c>
      <c r="E52" s="510">
        <f t="shared" si="19"/>
        <v>123600.84226062614</v>
      </c>
      <c r="F52" s="511">
        <f t="shared" si="20"/>
        <v>0</v>
      </c>
      <c r="G52" s="512">
        <f t="shared" si="21"/>
        <v>130692.98281590064</v>
      </c>
      <c r="H52" s="478">
        <f t="shared" si="22"/>
        <v>130692.98281590064</v>
      </c>
      <c r="I52" s="501">
        <f t="shared" si="6"/>
        <v>0</v>
      </c>
      <c r="J52" s="501"/>
      <c r="K52" s="513"/>
      <c r="L52" s="505">
        <f t="shared" si="23"/>
        <v>0</v>
      </c>
      <c r="M52" s="513"/>
      <c r="N52" s="505">
        <f t="shared" si="4"/>
        <v>0</v>
      </c>
      <c r="O52" s="505">
        <f t="shared" si="5"/>
        <v>0</v>
      </c>
      <c r="P52" s="279"/>
      <c r="R52" s="244"/>
      <c r="S52" s="244"/>
      <c r="T52" s="244"/>
      <c r="U52" s="244"/>
    </row>
    <row r="53" spans="2:21" ht="12.5">
      <c r="B53" s="145" t="str">
        <f t="shared" si="0"/>
        <v/>
      </c>
      <c r="C53" s="496">
        <f>IF(D11="","-",+C52+1)</f>
        <v>2050</v>
      </c>
      <c r="D53" s="509">
        <f>IF(F52+SUM(E$17:E52)=D$10,F52,D$10-SUM(E$17:E52))</f>
        <v>0</v>
      </c>
      <c r="E53" s="510">
        <f t="shared" si="19"/>
        <v>0</v>
      </c>
      <c r="F53" s="511">
        <f t="shared" si="20"/>
        <v>0</v>
      </c>
      <c r="G53" s="512">
        <f t="shared" si="21"/>
        <v>0</v>
      </c>
      <c r="H53" s="478">
        <f t="shared" si="22"/>
        <v>0</v>
      </c>
      <c r="I53" s="501">
        <f t="shared" si="6"/>
        <v>0</v>
      </c>
      <c r="J53" s="501"/>
      <c r="K53" s="513"/>
      <c r="L53" s="505">
        <f t="shared" si="23"/>
        <v>0</v>
      </c>
      <c r="M53" s="513"/>
      <c r="N53" s="505">
        <f t="shared" si="4"/>
        <v>0</v>
      </c>
      <c r="O53" s="505">
        <f t="shared" si="5"/>
        <v>0</v>
      </c>
      <c r="P53" s="279"/>
      <c r="R53" s="244"/>
      <c r="S53" s="244"/>
      <c r="T53" s="244"/>
      <c r="U53" s="244"/>
    </row>
    <row r="54" spans="2:21" ht="12.5">
      <c r="B54" s="145" t="str">
        <f t="shared" si="0"/>
        <v/>
      </c>
      <c r="C54" s="496">
        <f>IF(D11="","-",+C53+1)</f>
        <v>2051</v>
      </c>
      <c r="D54" s="509">
        <f>IF(F53+SUM(E$17:E53)=D$10,F53,D$10-SUM(E$17:E53))</f>
        <v>0</v>
      </c>
      <c r="E54" s="510">
        <f t="shared" si="19"/>
        <v>0</v>
      </c>
      <c r="F54" s="511">
        <f t="shared" si="20"/>
        <v>0</v>
      </c>
      <c r="G54" s="512">
        <f t="shared" si="21"/>
        <v>0</v>
      </c>
      <c r="H54" s="478">
        <f t="shared" si="22"/>
        <v>0</v>
      </c>
      <c r="I54" s="501">
        <f t="shared" si="6"/>
        <v>0</v>
      </c>
      <c r="J54" s="501"/>
      <c r="K54" s="513"/>
      <c r="L54" s="505">
        <f t="shared" si="23"/>
        <v>0</v>
      </c>
      <c r="M54" s="513"/>
      <c r="N54" s="505">
        <f t="shared" si="4"/>
        <v>0</v>
      </c>
      <c r="O54" s="505">
        <f t="shared" si="5"/>
        <v>0</v>
      </c>
      <c r="P54" s="279"/>
      <c r="R54" s="244"/>
      <c r="S54" s="244"/>
      <c r="T54" s="244"/>
      <c r="U54" s="244"/>
    </row>
    <row r="55" spans="2:21" ht="12.5">
      <c r="B55" s="145" t="str">
        <f t="shared" si="0"/>
        <v/>
      </c>
      <c r="C55" s="496">
        <f>IF(D11="","-",+C54+1)</f>
        <v>2052</v>
      </c>
      <c r="D55" s="509">
        <f>IF(F54+SUM(E$17:E54)=D$10,F54,D$10-SUM(E$17:E54))</f>
        <v>0</v>
      </c>
      <c r="E55" s="510">
        <f t="shared" si="19"/>
        <v>0</v>
      </c>
      <c r="F55" s="511">
        <f t="shared" si="20"/>
        <v>0</v>
      </c>
      <c r="G55" s="512">
        <f t="shared" si="21"/>
        <v>0</v>
      </c>
      <c r="H55" s="478">
        <f t="shared" si="22"/>
        <v>0</v>
      </c>
      <c r="I55" s="501">
        <f t="shared" si="6"/>
        <v>0</v>
      </c>
      <c r="J55" s="501"/>
      <c r="K55" s="513"/>
      <c r="L55" s="505">
        <f t="shared" si="23"/>
        <v>0</v>
      </c>
      <c r="M55" s="513"/>
      <c r="N55" s="505">
        <f t="shared" si="4"/>
        <v>0</v>
      </c>
      <c r="O55" s="505">
        <f t="shared" si="5"/>
        <v>0</v>
      </c>
      <c r="P55" s="279"/>
      <c r="R55" s="244"/>
      <c r="S55" s="244"/>
      <c r="T55" s="244"/>
      <c r="U55" s="244"/>
    </row>
    <row r="56" spans="2:21" ht="12.5">
      <c r="B56" s="145" t="str">
        <f t="shared" si="0"/>
        <v/>
      </c>
      <c r="C56" s="496">
        <f>IF(D11="","-",+C55+1)</f>
        <v>2053</v>
      </c>
      <c r="D56" s="509">
        <f>IF(F55+SUM(E$17:E55)=D$10,F55,D$10-SUM(E$17:E55))</f>
        <v>0</v>
      </c>
      <c r="E56" s="510">
        <f t="shared" si="19"/>
        <v>0</v>
      </c>
      <c r="F56" s="511">
        <f t="shared" si="20"/>
        <v>0</v>
      </c>
      <c r="G56" s="512">
        <f t="shared" si="21"/>
        <v>0</v>
      </c>
      <c r="H56" s="478">
        <f t="shared" si="22"/>
        <v>0</v>
      </c>
      <c r="I56" s="501">
        <f t="shared" si="6"/>
        <v>0</v>
      </c>
      <c r="J56" s="501"/>
      <c r="K56" s="513"/>
      <c r="L56" s="505">
        <f t="shared" si="23"/>
        <v>0</v>
      </c>
      <c r="M56" s="513"/>
      <c r="N56" s="505">
        <f t="shared" si="4"/>
        <v>0</v>
      </c>
      <c r="O56" s="505">
        <f t="shared" si="5"/>
        <v>0</v>
      </c>
      <c r="P56" s="279"/>
      <c r="R56" s="244"/>
      <c r="S56" s="244"/>
      <c r="T56" s="244"/>
      <c r="U56" s="244"/>
    </row>
    <row r="57" spans="2:21" ht="12.5">
      <c r="B57" s="145" t="str">
        <f t="shared" si="0"/>
        <v/>
      </c>
      <c r="C57" s="496">
        <f>IF(D11="","-",+C56+1)</f>
        <v>2054</v>
      </c>
      <c r="D57" s="509">
        <f>IF(F56+SUM(E$17:E56)=D$10,F56,D$10-SUM(E$17:E56))</f>
        <v>0</v>
      </c>
      <c r="E57" s="510">
        <f t="shared" si="19"/>
        <v>0</v>
      </c>
      <c r="F57" s="511">
        <f t="shared" si="20"/>
        <v>0</v>
      </c>
      <c r="G57" s="512">
        <f t="shared" si="21"/>
        <v>0</v>
      </c>
      <c r="H57" s="478">
        <f t="shared" si="22"/>
        <v>0</v>
      </c>
      <c r="I57" s="501">
        <f t="shared" si="6"/>
        <v>0</v>
      </c>
      <c r="J57" s="501"/>
      <c r="K57" s="513"/>
      <c r="L57" s="505">
        <f t="shared" si="23"/>
        <v>0</v>
      </c>
      <c r="M57" s="513"/>
      <c r="N57" s="505">
        <f t="shared" si="4"/>
        <v>0</v>
      </c>
      <c r="O57" s="505">
        <f t="shared" si="5"/>
        <v>0</v>
      </c>
      <c r="P57" s="279"/>
      <c r="R57" s="244"/>
      <c r="S57" s="244"/>
      <c r="T57" s="244"/>
      <c r="U57" s="244"/>
    </row>
    <row r="58" spans="2:21" ht="12.5">
      <c r="B58" s="145" t="str">
        <f t="shared" si="0"/>
        <v/>
      </c>
      <c r="C58" s="496">
        <f>IF(D11="","-",+C57+1)</f>
        <v>2055</v>
      </c>
      <c r="D58" s="509">
        <f>IF(F57+SUM(E$17:E57)=D$10,F57,D$10-SUM(E$17:E57))</f>
        <v>0</v>
      </c>
      <c r="E58" s="510">
        <f t="shared" si="19"/>
        <v>0</v>
      </c>
      <c r="F58" s="511">
        <f t="shared" si="20"/>
        <v>0</v>
      </c>
      <c r="G58" s="512">
        <f t="shared" si="21"/>
        <v>0</v>
      </c>
      <c r="H58" s="478">
        <f t="shared" si="22"/>
        <v>0</v>
      </c>
      <c r="I58" s="501">
        <f t="shared" si="6"/>
        <v>0</v>
      </c>
      <c r="J58" s="501"/>
      <c r="K58" s="513"/>
      <c r="L58" s="505">
        <f t="shared" si="23"/>
        <v>0</v>
      </c>
      <c r="M58" s="513"/>
      <c r="N58" s="505">
        <f t="shared" si="4"/>
        <v>0</v>
      </c>
      <c r="O58" s="505">
        <f t="shared" si="5"/>
        <v>0</v>
      </c>
      <c r="P58" s="279"/>
      <c r="R58" s="244"/>
      <c r="S58" s="244"/>
      <c r="T58" s="244"/>
      <c r="U58" s="244"/>
    </row>
    <row r="59" spans="2:21" ht="12.5">
      <c r="B59" s="145" t="str">
        <f t="shared" si="0"/>
        <v/>
      </c>
      <c r="C59" s="496">
        <f>IF(D11="","-",+C58+1)</f>
        <v>2056</v>
      </c>
      <c r="D59" s="509">
        <f>IF(F58+SUM(E$17:E58)=D$10,F58,D$10-SUM(E$17:E58))</f>
        <v>0</v>
      </c>
      <c r="E59" s="510">
        <f t="shared" si="19"/>
        <v>0</v>
      </c>
      <c r="F59" s="511">
        <f t="shared" si="20"/>
        <v>0</v>
      </c>
      <c r="G59" s="512">
        <f t="shared" si="21"/>
        <v>0</v>
      </c>
      <c r="H59" s="478">
        <f t="shared" si="22"/>
        <v>0</v>
      </c>
      <c r="I59" s="501">
        <f t="shared" si="6"/>
        <v>0</v>
      </c>
      <c r="J59" s="501"/>
      <c r="K59" s="513"/>
      <c r="L59" s="505">
        <f t="shared" si="23"/>
        <v>0</v>
      </c>
      <c r="M59" s="513"/>
      <c r="N59" s="505">
        <f t="shared" si="4"/>
        <v>0</v>
      </c>
      <c r="O59" s="505">
        <f t="shared" si="5"/>
        <v>0</v>
      </c>
      <c r="P59" s="279"/>
      <c r="R59" s="244"/>
      <c r="S59" s="244"/>
      <c r="T59" s="244"/>
      <c r="U59" s="244"/>
    </row>
    <row r="60" spans="2:21" ht="12.5">
      <c r="B60" s="145" t="str">
        <f t="shared" si="0"/>
        <v/>
      </c>
      <c r="C60" s="496">
        <f>IF(D11="","-",+C59+1)</f>
        <v>2057</v>
      </c>
      <c r="D60" s="509">
        <f>IF(F59+SUM(E$17:E59)=D$10,F59,D$10-SUM(E$17:E59))</f>
        <v>0</v>
      </c>
      <c r="E60" s="510">
        <f t="shared" si="19"/>
        <v>0</v>
      </c>
      <c r="F60" s="511">
        <f t="shared" si="20"/>
        <v>0</v>
      </c>
      <c r="G60" s="512">
        <f t="shared" si="21"/>
        <v>0</v>
      </c>
      <c r="H60" s="478">
        <f t="shared" si="22"/>
        <v>0</v>
      </c>
      <c r="I60" s="501">
        <f t="shared" si="6"/>
        <v>0</v>
      </c>
      <c r="J60" s="501"/>
      <c r="K60" s="513"/>
      <c r="L60" s="505">
        <f t="shared" si="23"/>
        <v>0</v>
      </c>
      <c r="M60" s="513"/>
      <c r="N60" s="505">
        <f t="shared" si="4"/>
        <v>0</v>
      </c>
      <c r="O60" s="505">
        <f t="shared" si="5"/>
        <v>0</v>
      </c>
      <c r="P60" s="279"/>
      <c r="R60" s="244"/>
      <c r="S60" s="244"/>
      <c r="T60" s="244"/>
      <c r="U60" s="244"/>
    </row>
    <row r="61" spans="2:21" ht="12.5">
      <c r="B61" s="145" t="str">
        <f t="shared" si="0"/>
        <v/>
      </c>
      <c r="C61" s="496">
        <f>IF(D11="","-",+C60+1)</f>
        <v>2058</v>
      </c>
      <c r="D61" s="509">
        <f>IF(F60+SUM(E$17:E60)=D$10,F60,D$10-SUM(E$17:E60))</f>
        <v>0</v>
      </c>
      <c r="E61" s="510">
        <f t="shared" si="19"/>
        <v>0</v>
      </c>
      <c r="F61" s="511">
        <f t="shared" si="20"/>
        <v>0</v>
      </c>
      <c r="G61" s="512">
        <f t="shared" si="21"/>
        <v>0</v>
      </c>
      <c r="H61" s="478">
        <f t="shared" si="22"/>
        <v>0</v>
      </c>
      <c r="I61" s="501">
        <f t="shared" si="6"/>
        <v>0</v>
      </c>
      <c r="J61" s="501"/>
      <c r="K61" s="513"/>
      <c r="L61" s="505">
        <f t="shared" si="23"/>
        <v>0</v>
      </c>
      <c r="M61" s="513"/>
      <c r="N61" s="505">
        <f t="shared" si="4"/>
        <v>0</v>
      </c>
      <c r="O61" s="505">
        <f t="shared" si="5"/>
        <v>0</v>
      </c>
      <c r="P61" s="279"/>
      <c r="R61" s="244"/>
      <c r="S61" s="244"/>
      <c r="T61" s="244"/>
      <c r="U61" s="244"/>
    </row>
    <row r="62" spans="2:21" ht="12.5">
      <c r="B62" s="145" t="str">
        <f t="shared" si="0"/>
        <v/>
      </c>
      <c r="C62" s="496">
        <f>IF(D11="","-",+C61+1)</f>
        <v>2059</v>
      </c>
      <c r="D62" s="509">
        <f>IF(F61+SUM(E$17:E61)=D$10,F61,D$10-SUM(E$17:E61))</f>
        <v>0</v>
      </c>
      <c r="E62" s="510">
        <f t="shared" si="19"/>
        <v>0</v>
      </c>
      <c r="F62" s="511">
        <f t="shared" si="20"/>
        <v>0</v>
      </c>
      <c r="G62" s="512">
        <f t="shared" si="21"/>
        <v>0</v>
      </c>
      <c r="H62" s="478">
        <f t="shared" si="22"/>
        <v>0</v>
      </c>
      <c r="I62" s="501">
        <f t="shared" si="6"/>
        <v>0</v>
      </c>
      <c r="J62" s="501"/>
      <c r="K62" s="513"/>
      <c r="L62" s="505">
        <f t="shared" si="23"/>
        <v>0</v>
      </c>
      <c r="M62" s="513"/>
      <c r="N62" s="505">
        <f t="shared" si="4"/>
        <v>0</v>
      </c>
      <c r="O62" s="505">
        <f t="shared" si="5"/>
        <v>0</v>
      </c>
      <c r="P62" s="279"/>
      <c r="R62" s="244"/>
      <c r="S62" s="244"/>
      <c r="T62" s="244"/>
      <c r="U62" s="244"/>
    </row>
    <row r="63" spans="2:21" ht="12.5">
      <c r="B63" s="145" t="str">
        <f t="shared" si="0"/>
        <v/>
      </c>
      <c r="C63" s="496">
        <f>IF(D11="","-",+C62+1)</f>
        <v>2060</v>
      </c>
      <c r="D63" s="509">
        <f>IF(F62+SUM(E$17:E62)=D$10,F62,D$10-SUM(E$17:E62))</f>
        <v>0</v>
      </c>
      <c r="E63" s="510">
        <f t="shared" si="19"/>
        <v>0</v>
      </c>
      <c r="F63" s="511">
        <f t="shared" si="20"/>
        <v>0</v>
      </c>
      <c r="G63" s="512">
        <f t="shared" si="21"/>
        <v>0</v>
      </c>
      <c r="H63" s="478">
        <f t="shared" si="22"/>
        <v>0</v>
      </c>
      <c r="I63" s="501">
        <f t="shared" si="6"/>
        <v>0</v>
      </c>
      <c r="J63" s="501"/>
      <c r="K63" s="513"/>
      <c r="L63" s="505">
        <f t="shared" si="23"/>
        <v>0</v>
      </c>
      <c r="M63" s="513"/>
      <c r="N63" s="505">
        <f t="shared" si="4"/>
        <v>0</v>
      </c>
      <c r="O63" s="505">
        <f t="shared" si="5"/>
        <v>0</v>
      </c>
      <c r="P63" s="279"/>
      <c r="R63" s="244"/>
      <c r="S63" s="244"/>
      <c r="T63" s="244"/>
      <c r="U63" s="244"/>
    </row>
    <row r="64" spans="2:21" ht="12.5">
      <c r="B64" s="145" t="str">
        <f t="shared" si="0"/>
        <v/>
      </c>
      <c r="C64" s="496">
        <f>IF(D11="","-",+C63+1)</f>
        <v>2061</v>
      </c>
      <c r="D64" s="509">
        <f>IF(F63+SUM(E$17:E63)=D$10,F63,D$10-SUM(E$17:E63))</f>
        <v>0</v>
      </c>
      <c r="E64" s="510">
        <f t="shared" si="19"/>
        <v>0</v>
      </c>
      <c r="F64" s="511">
        <f t="shared" si="20"/>
        <v>0</v>
      </c>
      <c r="G64" s="512">
        <f t="shared" si="21"/>
        <v>0</v>
      </c>
      <c r="H64" s="478">
        <f t="shared" si="22"/>
        <v>0</v>
      </c>
      <c r="I64" s="501">
        <f t="shared" si="6"/>
        <v>0</v>
      </c>
      <c r="J64" s="501"/>
      <c r="K64" s="513"/>
      <c r="L64" s="505">
        <f t="shared" si="23"/>
        <v>0</v>
      </c>
      <c r="M64" s="513"/>
      <c r="N64" s="505">
        <f t="shared" si="4"/>
        <v>0</v>
      </c>
      <c r="O64" s="505">
        <f t="shared" si="5"/>
        <v>0</v>
      </c>
      <c r="P64" s="279"/>
      <c r="R64" s="244"/>
      <c r="S64" s="244"/>
      <c r="T64" s="244"/>
      <c r="U64" s="244"/>
    </row>
    <row r="65" spans="2:21" ht="12.5">
      <c r="B65" s="145" t="str">
        <f t="shared" si="0"/>
        <v/>
      </c>
      <c r="C65" s="496">
        <f>IF(D11="","-",+C64+1)</f>
        <v>2062</v>
      </c>
      <c r="D65" s="509">
        <f>IF(F64+SUM(E$17:E64)=D$10,F64,D$10-SUM(E$17:E64))</f>
        <v>0</v>
      </c>
      <c r="E65" s="510">
        <f t="shared" si="19"/>
        <v>0</v>
      </c>
      <c r="F65" s="511">
        <f t="shared" si="20"/>
        <v>0</v>
      </c>
      <c r="G65" s="512">
        <f t="shared" si="21"/>
        <v>0</v>
      </c>
      <c r="H65" s="478">
        <f t="shared" si="22"/>
        <v>0</v>
      </c>
      <c r="I65" s="501">
        <f t="shared" si="6"/>
        <v>0</v>
      </c>
      <c r="J65" s="501"/>
      <c r="K65" s="513"/>
      <c r="L65" s="505">
        <f t="shared" si="23"/>
        <v>0</v>
      </c>
      <c r="M65" s="513"/>
      <c r="N65" s="505">
        <f t="shared" si="4"/>
        <v>0</v>
      </c>
      <c r="O65" s="505">
        <f t="shared" si="5"/>
        <v>0</v>
      </c>
      <c r="P65" s="279"/>
      <c r="R65" s="244"/>
      <c r="S65" s="244"/>
      <c r="T65" s="244"/>
      <c r="U65" s="244"/>
    </row>
    <row r="66" spans="2:21" ht="12.5">
      <c r="B66" s="145" t="str">
        <f t="shared" si="0"/>
        <v/>
      </c>
      <c r="C66" s="496">
        <f>IF(D11="","-",+C65+1)</f>
        <v>2063</v>
      </c>
      <c r="D66" s="509">
        <f>IF(F65+SUM(E$17:E65)=D$10,F65,D$10-SUM(E$17:E65))</f>
        <v>0</v>
      </c>
      <c r="E66" s="510">
        <f t="shared" si="19"/>
        <v>0</v>
      </c>
      <c r="F66" s="511">
        <f t="shared" si="20"/>
        <v>0</v>
      </c>
      <c r="G66" s="512">
        <f t="shared" si="21"/>
        <v>0</v>
      </c>
      <c r="H66" s="478">
        <f t="shared" si="22"/>
        <v>0</v>
      </c>
      <c r="I66" s="501">
        <f t="shared" si="6"/>
        <v>0</v>
      </c>
      <c r="J66" s="501"/>
      <c r="K66" s="513"/>
      <c r="L66" s="505">
        <f t="shared" si="23"/>
        <v>0</v>
      </c>
      <c r="M66" s="513"/>
      <c r="N66" s="505">
        <f t="shared" si="4"/>
        <v>0</v>
      </c>
      <c r="O66" s="505">
        <f t="shared" si="5"/>
        <v>0</v>
      </c>
      <c r="P66" s="279"/>
      <c r="R66" s="244"/>
      <c r="S66" s="244"/>
      <c r="T66" s="244"/>
      <c r="U66" s="244"/>
    </row>
    <row r="67" spans="2:21" ht="12.5">
      <c r="B67" s="145" t="str">
        <f t="shared" si="0"/>
        <v/>
      </c>
      <c r="C67" s="496">
        <f>IF(D11="","-",+C66+1)</f>
        <v>2064</v>
      </c>
      <c r="D67" s="509">
        <f>IF(F66+SUM(E$17:E66)=D$10,F66,D$10-SUM(E$17:E66))</f>
        <v>0</v>
      </c>
      <c r="E67" s="510">
        <f t="shared" si="19"/>
        <v>0</v>
      </c>
      <c r="F67" s="511">
        <f t="shared" si="20"/>
        <v>0</v>
      </c>
      <c r="G67" s="512">
        <f t="shared" si="21"/>
        <v>0</v>
      </c>
      <c r="H67" s="478">
        <f t="shared" si="22"/>
        <v>0</v>
      </c>
      <c r="I67" s="501">
        <f t="shared" si="6"/>
        <v>0</v>
      </c>
      <c r="J67" s="501"/>
      <c r="K67" s="513"/>
      <c r="L67" s="505">
        <f t="shared" si="23"/>
        <v>0</v>
      </c>
      <c r="M67" s="513"/>
      <c r="N67" s="505">
        <f t="shared" si="4"/>
        <v>0</v>
      </c>
      <c r="O67" s="505">
        <f t="shared" si="5"/>
        <v>0</v>
      </c>
      <c r="P67" s="279"/>
      <c r="R67" s="244"/>
      <c r="S67" s="244"/>
      <c r="T67" s="244"/>
      <c r="U67" s="244"/>
    </row>
    <row r="68" spans="2:21" ht="12.5">
      <c r="B68" s="145" t="str">
        <f t="shared" si="0"/>
        <v/>
      </c>
      <c r="C68" s="496">
        <f>IF(D11="","-",+C67+1)</f>
        <v>2065</v>
      </c>
      <c r="D68" s="509">
        <f>IF(F67+SUM(E$17:E67)=D$10,F67,D$10-SUM(E$17:E67))</f>
        <v>0</v>
      </c>
      <c r="E68" s="510">
        <f t="shared" si="19"/>
        <v>0</v>
      </c>
      <c r="F68" s="511">
        <f t="shared" si="20"/>
        <v>0</v>
      </c>
      <c r="G68" s="512">
        <f t="shared" si="21"/>
        <v>0</v>
      </c>
      <c r="H68" s="478">
        <f t="shared" si="22"/>
        <v>0</v>
      </c>
      <c r="I68" s="501">
        <f t="shared" si="6"/>
        <v>0</v>
      </c>
      <c r="J68" s="501"/>
      <c r="K68" s="513"/>
      <c r="L68" s="505">
        <f t="shared" si="23"/>
        <v>0</v>
      </c>
      <c r="M68" s="513"/>
      <c r="N68" s="505">
        <f t="shared" si="4"/>
        <v>0</v>
      </c>
      <c r="O68" s="505">
        <f t="shared" si="5"/>
        <v>0</v>
      </c>
      <c r="P68" s="279"/>
      <c r="R68" s="244"/>
      <c r="S68" s="244"/>
      <c r="T68" s="244"/>
      <c r="U68" s="244"/>
    </row>
    <row r="69" spans="2:21" ht="12.5">
      <c r="B69" s="145" t="str">
        <f t="shared" si="0"/>
        <v/>
      </c>
      <c r="C69" s="496">
        <f>IF(D11="","-",+C68+1)</f>
        <v>2066</v>
      </c>
      <c r="D69" s="509">
        <f>IF(F68+SUM(E$17:E68)=D$10,F68,D$10-SUM(E$17:E68))</f>
        <v>0</v>
      </c>
      <c r="E69" s="510">
        <f t="shared" si="19"/>
        <v>0</v>
      </c>
      <c r="F69" s="511">
        <f t="shared" si="20"/>
        <v>0</v>
      </c>
      <c r="G69" s="512">
        <f t="shared" si="21"/>
        <v>0</v>
      </c>
      <c r="H69" s="478">
        <f t="shared" si="22"/>
        <v>0</v>
      </c>
      <c r="I69" s="501">
        <f t="shared" si="6"/>
        <v>0</v>
      </c>
      <c r="J69" s="501"/>
      <c r="K69" s="513"/>
      <c r="L69" s="505">
        <f t="shared" si="23"/>
        <v>0</v>
      </c>
      <c r="M69" s="513"/>
      <c r="N69" s="505">
        <f t="shared" si="4"/>
        <v>0</v>
      </c>
      <c r="O69" s="505">
        <f t="shared" si="5"/>
        <v>0</v>
      </c>
      <c r="P69" s="279"/>
      <c r="R69" s="244"/>
      <c r="S69" s="244"/>
      <c r="T69" s="244"/>
      <c r="U69" s="244"/>
    </row>
    <row r="70" spans="2:21" ht="12.5">
      <c r="B70" s="145" t="str">
        <f t="shared" si="0"/>
        <v/>
      </c>
      <c r="C70" s="496">
        <f>IF(D11="","-",+C69+1)</f>
        <v>2067</v>
      </c>
      <c r="D70" s="509">
        <f>IF(F69+SUM(E$17:E69)=D$10,F69,D$10-SUM(E$17:E69))</f>
        <v>0</v>
      </c>
      <c r="E70" s="510">
        <f t="shared" si="19"/>
        <v>0</v>
      </c>
      <c r="F70" s="511">
        <f t="shared" si="20"/>
        <v>0</v>
      </c>
      <c r="G70" s="512">
        <f t="shared" si="21"/>
        <v>0</v>
      </c>
      <c r="H70" s="478">
        <f t="shared" si="22"/>
        <v>0</v>
      </c>
      <c r="I70" s="501">
        <f t="shared" si="6"/>
        <v>0</v>
      </c>
      <c r="J70" s="501"/>
      <c r="K70" s="513"/>
      <c r="L70" s="505">
        <f t="shared" si="23"/>
        <v>0</v>
      </c>
      <c r="M70" s="513"/>
      <c r="N70" s="505">
        <f t="shared" si="4"/>
        <v>0</v>
      </c>
      <c r="O70" s="505">
        <f t="shared" si="5"/>
        <v>0</v>
      </c>
      <c r="P70" s="279"/>
      <c r="R70" s="244"/>
      <c r="S70" s="244"/>
      <c r="T70" s="244"/>
      <c r="U70" s="244"/>
    </row>
    <row r="71" spans="2:21" ht="12.5">
      <c r="B71" s="145" t="str">
        <f t="shared" si="0"/>
        <v/>
      </c>
      <c r="C71" s="496">
        <f>IF(D11="","-",+C70+1)</f>
        <v>2068</v>
      </c>
      <c r="D71" s="509">
        <f>IF(F70+SUM(E$17:E70)=D$10,F70,D$10-SUM(E$17:E70))</f>
        <v>0</v>
      </c>
      <c r="E71" s="510">
        <f t="shared" si="19"/>
        <v>0</v>
      </c>
      <c r="F71" s="511">
        <f t="shared" si="20"/>
        <v>0</v>
      </c>
      <c r="G71" s="512">
        <f t="shared" si="21"/>
        <v>0</v>
      </c>
      <c r="H71" s="478">
        <f t="shared" si="22"/>
        <v>0</v>
      </c>
      <c r="I71" s="501">
        <f t="shared" si="6"/>
        <v>0</v>
      </c>
      <c r="J71" s="501"/>
      <c r="K71" s="513"/>
      <c r="L71" s="505">
        <f t="shared" si="23"/>
        <v>0</v>
      </c>
      <c r="M71" s="513"/>
      <c r="N71" s="505">
        <f t="shared" si="4"/>
        <v>0</v>
      </c>
      <c r="O71" s="505">
        <f t="shared" si="5"/>
        <v>0</v>
      </c>
      <c r="P71" s="279"/>
      <c r="R71" s="244"/>
      <c r="S71" s="244"/>
      <c r="T71" s="244"/>
      <c r="U71" s="244"/>
    </row>
    <row r="72" spans="2:21" ht="12.5">
      <c r="B72" s="145" t="str">
        <f t="shared" si="0"/>
        <v/>
      </c>
      <c r="C72" s="496">
        <f>IF(D11="","-",+C71+1)</f>
        <v>2069</v>
      </c>
      <c r="D72" s="509">
        <f>IF(F71+SUM(E$17:E71)=D$10,F71,D$10-SUM(E$17:E71))</f>
        <v>0</v>
      </c>
      <c r="E72" s="510">
        <f t="shared" si="19"/>
        <v>0</v>
      </c>
      <c r="F72" s="511">
        <f t="shared" si="20"/>
        <v>0</v>
      </c>
      <c r="G72" s="512">
        <f t="shared" si="21"/>
        <v>0</v>
      </c>
      <c r="H72" s="478">
        <f t="shared" si="22"/>
        <v>0</v>
      </c>
      <c r="I72" s="501">
        <f t="shared" si="6"/>
        <v>0</v>
      </c>
      <c r="J72" s="501"/>
      <c r="K72" s="513"/>
      <c r="L72" s="505">
        <f t="shared" si="23"/>
        <v>0</v>
      </c>
      <c r="M72" s="513"/>
      <c r="N72" s="505">
        <f t="shared" si="4"/>
        <v>0</v>
      </c>
      <c r="O72" s="505">
        <f t="shared" si="5"/>
        <v>0</v>
      </c>
      <c r="P72" s="279"/>
      <c r="R72" s="244"/>
      <c r="S72" s="244"/>
      <c r="T72" s="244"/>
      <c r="U72" s="244"/>
    </row>
    <row r="73" spans="2:21" ht="13" thickBot="1">
      <c r="B73" s="145" t="str">
        <f t="shared" si="0"/>
        <v/>
      </c>
      <c r="C73" s="525">
        <f>IF(D11="","-",+C72+1)</f>
        <v>2070</v>
      </c>
      <c r="D73" s="526">
        <f>IF(F72+SUM(E$17:E72)=D$10,F72,D$10-SUM(E$17:E72))</f>
        <v>0</v>
      </c>
      <c r="E73" s="527">
        <f t="shared" si="19"/>
        <v>0</v>
      </c>
      <c r="F73" s="528">
        <f t="shared" si="20"/>
        <v>0</v>
      </c>
      <c r="G73" s="528">
        <f t="shared" si="21"/>
        <v>0</v>
      </c>
      <c r="H73" s="528">
        <f t="shared" si="22"/>
        <v>0</v>
      </c>
      <c r="I73" s="530">
        <f t="shared" si="6"/>
        <v>0</v>
      </c>
      <c r="J73" s="501"/>
      <c r="K73" s="531"/>
      <c r="L73" s="532">
        <f t="shared" si="23"/>
        <v>0</v>
      </c>
      <c r="M73" s="531"/>
      <c r="N73" s="532">
        <f t="shared" si="4"/>
        <v>0</v>
      </c>
      <c r="O73" s="532">
        <f t="shared" si="5"/>
        <v>0</v>
      </c>
      <c r="P73" s="279"/>
      <c r="R73" s="244"/>
      <c r="S73" s="244"/>
      <c r="T73" s="244"/>
      <c r="U73" s="244"/>
    </row>
    <row r="74" spans="2:21" ht="12.5">
      <c r="C74" s="350" t="s">
        <v>75</v>
      </c>
      <c r="D74" s="295"/>
      <c r="E74" s="295">
        <f>SUM(E17:E73)</f>
        <v>20242585.050000001</v>
      </c>
      <c r="F74" s="295"/>
      <c r="G74" s="295">
        <f>SUM(G17:G73)</f>
        <v>60281202.33581014</v>
      </c>
      <c r="H74" s="295">
        <f>SUM(H17:H73)</f>
        <v>60281202.33581014</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11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2437253.8454477098</v>
      </c>
      <c r="N88" s="545">
        <f>IF(J93&lt;D11,0,VLOOKUP(J93,C17:O73,11))</f>
        <v>2437253.8454477098</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2684608.0352350613</v>
      </c>
      <c r="N89" s="549">
        <f>IF(J93&lt;D11,0,VLOOKUP(J93,C100:P155,7))</f>
        <v>2684608.0352350613</v>
      </c>
      <c r="O89" s="550">
        <f>+N89-M89</f>
        <v>0</v>
      </c>
      <c r="P89" s="244"/>
      <c r="Q89" s="244"/>
      <c r="R89" s="244"/>
      <c r="S89" s="244"/>
      <c r="T89" s="244"/>
      <c r="U89" s="244"/>
    </row>
    <row r="90" spans="1:21" ht="13.5" thickBot="1">
      <c r="C90" s="455" t="s">
        <v>82</v>
      </c>
      <c r="D90" s="551" t="str">
        <f>+D7</f>
        <v>Grady Customer Connection</v>
      </c>
      <c r="E90" s="244"/>
      <c r="F90" s="244"/>
      <c r="G90" s="244"/>
      <c r="H90" s="244"/>
      <c r="I90" s="326"/>
      <c r="J90" s="326"/>
      <c r="K90" s="552"/>
      <c r="L90" s="553" t="s">
        <v>135</v>
      </c>
      <c r="M90" s="554">
        <f>+M89-M88</f>
        <v>247354.18978735153</v>
      </c>
      <c r="N90" s="554">
        <f>+N89-N88</f>
        <v>247354.18978735153</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TP2013002</v>
      </c>
      <c r="E92" s="559"/>
      <c r="F92" s="559"/>
      <c r="G92" s="559"/>
      <c r="H92" s="559"/>
      <c r="I92" s="559"/>
      <c r="J92" s="559"/>
      <c r="K92" s="561"/>
      <c r="P92" s="469"/>
      <c r="Q92" s="244"/>
      <c r="R92" s="244"/>
      <c r="S92" s="244"/>
      <c r="T92" s="244"/>
      <c r="U92" s="244"/>
    </row>
    <row r="93" spans="1:21" ht="13">
      <c r="C93" s="473" t="s">
        <v>49</v>
      </c>
      <c r="D93" s="623">
        <f>D10</f>
        <v>20242585.050000001</v>
      </c>
      <c r="E93" s="249" t="s">
        <v>84</v>
      </c>
      <c r="H93" s="409"/>
      <c r="I93" s="409"/>
      <c r="J93" s="472">
        <f>+'OKT.WS.G.BPU.ATRR.True-up'!M16</f>
        <v>2023</v>
      </c>
      <c r="K93" s="468"/>
      <c r="L93" s="295" t="s">
        <v>85</v>
      </c>
      <c r="P93" s="279"/>
      <c r="Q93" s="244"/>
      <c r="R93" s="244"/>
      <c r="S93" s="244"/>
      <c r="T93" s="244"/>
      <c r="U93" s="244"/>
    </row>
    <row r="94" spans="1:21" ht="12.5">
      <c r="B94" s="145">
        <v>2015</v>
      </c>
      <c r="C94" s="473" t="s">
        <v>52</v>
      </c>
      <c r="D94" s="720">
        <f>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11</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1065399.2131578948</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2014</v>
      </c>
      <c r="D100" s="350"/>
      <c r="E100" s="512"/>
      <c r="F100" s="511"/>
      <c r="G100" s="606"/>
      <c r="H100" s="606"/>
      <c r="I100" s="606"/>
      <c r="J100" s="505"/>
      <c r="K100" s="505"/>
      <c r="L100" s="502"/>
      <c r="M100" s="503">
        <f t="shared" ref="M100:M131" si="24">IF(L100&lt;&gt;0,+H100-L100,0)</f>
        <v>0</v>
      </c>
      <c r="N100" s="502"/>
      <c r="O100" s="504">
        <f t="shared" ref="O100:O131" si="25">IF(N100&lt;&gt;0,+I100-N100,0)</f>
        <v>0</v>
      </c>
      <c r="P100" s="504">
        <f t="shared" ref="P100:P131" si="26">+O100-M100</f>
        <v>0</v>
      </c>
      <c r="Q100" s="244"/>
      <c r="R100" s="244"/>
      <c r="S100" s="244"/>
      <c r="T100" s="244"/>
      <c r="U100" s="244"/>
    </row>
    <row r="101" spans="1:21" ht="12.5">
      <c r="B101" s="145" t="str">
        <f t="shared" ref="B101:B155" si="27">IF(D101=F100,"","IU")</f>
        <v>IU</v>
      </c>
      <c r="C101" s="496">
        <f>IF(D94="","-",+C100+1)</f>
        <v>2015</v>
      </c>
      <c r="D101" s="497">
        <v>19016226.275360011</v>
      </c>
      <c r="E101" s="499">
        <v>416545.33333333331</v>
      </c>
      <c r="F101" s="506">
        <v>18599680.942026678</v>
      </c>
      <c r="G101" s="506">
        <v>18807953.608693346</v>
      </c>
      <c r="H101" s="499">
        <v>2510424.0615898012</v>
      </c>
      <c r="I101" s="500">
        <v>2510424.0615898012</v>
      </c>
      <c r="J101" s="505">
        <v>0</v>
      </c>
      <c r="K101" s="505"/>
      <c r="L101" s="507">
        <f t="shared" ref="L101:L106" si="28">H101</f>
        <v>2510424.0615898012</v>
      </c>
      <c r="M101" s="505">
        <f t="shared" ref="M101:M106" si="29">IF(L101&lt;&gt;0,+H101-L101,0)</f>
        <v>0</v>
      </c>
      <c r="N101" s="507">
        <f t="shared" ref="N101:N106" si="30">I101</f>
        <v>2510424.0615898012</v>
      </c>
      <c r="O101" s="505">
        <f t="shared" si="25"/>
        <v>0</v>
      </c>
      <c r="P101" s="505">
        <f t="shared" si="26"/>
        <v>0</v>
      </c>
      <c r="Q101" s="244"/>
      <c r="R101" s="244"/>
      <c r="S101" s="244"/>
      <c r="T101" s="244"/>
      <c r="U101" s="244"/>
    </row>
    <row r="102" spans="1:21" ht="12.5">
      <c r="B102" s="145" t="str">
        <f t="shared" si="27"/>
        <v>IU</v>
      </c>
      <c r="C102" s="496">
        <f>IF(D94="","-",+C101+1)</f>
        <v>2016</v>
      </c>
      <c r="D102" s="497">
        <v>19825461.666666668</v>
      </c>
      <c r="E102" s="499">
        <v>396902.09803921566</v>
      </c>
      <c r="F102" s="506">
        <v>19428559.568627451</v>
      </c>
      <c r="G102" s="506">
        <v>19627010.617647059</v>
      </c>
      <c r="H102" s="499">
        <v>2523870.6286029778</v>
      </c>
      <c r="I102" s="500">
        <v>2523870.6286029778</v>
      </c>
      <c r="J102" s="505">
        <f>+I102-H102</f>
        <v>0</v>
      </c>
      <c r="K102" s="505"/>
      <c r="L102" s="507">
        <f t="shared" si="28"/>
        <v>2523870.6286029778</v>
      </c>
      <c r="M102" s="505">
        <f t="shared" si="29"/>
        <v>0</v>
      </c>
      <c r="N102" s="507">
        <f t="shared" si="30"/>
        <v>2523870.6286029778</v>
      </c>
      <c r="O102" s="505">
        <f>IF(N102&lt;&gt;0,+I102-N102,0)</f>
        <v>0</v>
      </c>
      <c r="P102" s="505">
        <f>+O102-M102</f>
        <v>0</v>
      </c>
      <c r="Q102" s="244"/>
      <c r="R102" s="244"/>
      <c r="S102" s="244"/>
      <c r="T102" s="244"/>
      <c r="U102" s="244"/>
    </row>
    <row r="103" spans="1:21" ht="12.5">
      <c r="B103" s="145" t="str">
        <f t="shared" si="27"/>
        <v>IU</v>
      </c>
      <c r="C103" s="496">
        <f>IF(D94="","-",+C102+1)</f>
        <v>2017</v>
      </c>
      <c r="D103" s="497">
        <v>19429137.568627451</v>
      </c>
      <c r="E103" s="499">
        <v>506064.625</v>
      </c>
      <c r="F103" s="506">
        <v>18923072.943627451</v>
      </c>
      <c r="G103" s="506">
        <v>19176105.256127451</v>
      </c>
      <c r="H103" s="499">
        <v>2756109.5074390932</v>
      </c>
      <c r="I103" s="500">
        <v>2756109.5074390932</v>
      </c>
      <c r="J103" s="505">
        <v>0</v>
      </c>
      <c r="K103" s="505"/>
      <c r="L103" s="507">
        <f t="shared" si="28"/>
        <v>2756109.5074390932</v>
      </c>
      <c r="M103" s="505">
        <f t="shared" si="29"/>
        <v>0</v>
      </c>
      <c r="N103" s="507">
        <f t="shared" si="30"/>
        <v>2756109.5074390932</v>
      </c>
      <c r="O103" s="505">
        <f>IF(N103&lt;&gt;0,+I103-N103,0)</f>
        <v>0</v>
      </c>
      <c r="P103" s="505">
        <f>+O103-M103</f>
        <v>0</v>
      </c>
      <c r="Q103" s="244"/>
      <c r="R103" s="244"/>
      <c r="S103" s="244"/>
      <c r="T103" s="244"/>
      <c r="U103" s="244"/>
    </row>
    <row r="104" spans="1:21" ht="12.5">
      <c r="B104" s="145" t="str">
        <f t="shared" si="27"/>
        <v/>
      </c>
      <c r="C104" s="496">
        <f>IF(D94="","-",+C103+1)</f>
        <v>2018</v>
      </c>
      <c r="D104" s="497">
        <v>18923072.943627451</v>
      </c>
      <c r="E104" s="499">
        <v>562294.02777777775</v>
      </c>
      <c r="F104" s="506">
        <v>18360778.915849674</v>
      </c>
      <c r="G104" s="506">
        <v>18641925.929738563</v>
      </c>
      <c r="H104" s="499">
        <v>2530181.3848446766</v>
      </c>
      <c r="I104" s="500">
        <v>2530181.3848446766</v>
      </c>
      <c r="J104" s="505">
        <f t="shared" ref="J104:J155" si="31">+I104-H104</f>
        <v>0</v>
      </c>
      <c r="K104" s="505"/>
      <c r="L104" s="507">
        <f t="shared" si="28"/>
        <v>2530181.3848446766</v>
      </c>
      <c r="M104" s="505">
        <f t="shared" si="29"/>
        <v>0</v>
      </c>
      <c r="N104" s="507">
        <f t="shared" si="30"/>
        <v>2530181.3848446766</v>
      </c>
      <c r="O104" s="505">
        <f>IF(N104&lt;&gt;0,+I104-N104,0)</f>
        <v>0</v>
      </c>
      <c r="P104" s="505">
        <f>+O104-M104</f>
        <v>0</v>
      </c>
      <c r="Q104" s="244"/>
      <c r="R104" s="244"/>
      <c r="S104" s="244"/>
      <c r="T104" s="244"/>
      <c r="U104" s="244"/>
    </row>
    <row r="105" spans="1:21" ht="12.5">
      <c r="B105" s="145" t="str">
        <f t="shared" si="27"/>
        <v/>
      </c>
      <c r="C105" s="496">
        <f>IF(D94="","-",+C104+1)</f>
        <v>2019</v>
      </c>
      <c r="D105" s="497">
        <v>18360778.915849674</v>
      </c>
      <c r="E105" s="499">
        <v>562294.02777777775</v>
      </c>
      <c r="F105" s="506">
        <v>17798484.888071898</v>
      </c>
      <c r="G105" s="506">
        <v>18079631.901960786</v>
      </c>
      <c r="H105" s="499">
        <v>2470824.2501586666</v>
      </c>
      <c r="I105" s="500">
        <v>2470824.2501586666</v>
      </c>
      <c r="J105" s="505">
        <f t="shared" si="31"/>
        <v>0</v>
      </c>
      <c r="K105" s="505"/>
      <c r="L105" s="507">
        <f t="shared" si="28"/>
        <v>2470824.2501586666</v>
      </c>
      <c r="M105" s="505">
        <f t="shared" si="29"/>
        <v>0</v>
      </c>
      <c r="N105" s="507">
        <f t="shared" si="30"/>
        <v>2470824.2501586666</v>
      </c>
      <c r="O105" s="505">
        <f t="shared" si="25"/>
        <v>0</v>
      </c>
      <c r="P105" s="505">
        <f t="shared" si="26"/>
        <v>0</v>
      </c>
      <c r="Q105" s="244"/>
      <c r="R105" s="244"/>
      <c r="S105" s="244"/>
      <c r="T105" s="244"/>
      <c r="U105" s="244"/>
    </row>
    <row r="106" spans="1:21" ht="12.5">
      <c r="B106" s="145" t="str">
        <f t="shared" si="27"/>
        <v/>
      </c>
      <c r="C106" s="496">
        <f>IF(D94="","-",+C105+1)</f>
        <v>2020</v>
      </c>
      <c r="D106" s="497">
        <v>17798484.888071898</v>
      </c>
      <c r="E106" s="499">
        <v>722949.46428571432</v>
      </c>
      <c r="F106" s="506">
        <v>17075535.423786186</v>
      </c>
      <c r="G106" s="506">
        <v>17437010.155929044</v>
      </c>
      <c r="H106" s="499">
        <v>2578482.7265587896</v>
      </c>
      <c r="I106" s="500">
        <v>2578482.7265587896</v>
      </c>
      <c r="J106" s="505">
        <f t="shared" si="31"/>
        <v>0</v>
      </c>
      <c r="K106" s="505"/>
      <c r="L106" s="507">
        <f t="shared" si="28"/>
        <v>2578482.7265587896</v>
      </c>
      <c r="M106" s="505">
        <f t="shared" si="29"/>
        <v>0</v>
      </c>
      <c r="N106" s="507">
        <f t="shared" si="30"/>
        <v>2578482.7265587896</v>
      </c>
      <c r="O106" s="505">
        <f t="shared" si="25"/>
        <v>0</v>
      </c>
      <c r="P106" s="505">
        <f t="shared" si="26"/>
        <v>0</v>
      </c>
      <c r="Q106" s="244"/>
      <c r="R106" s="244"/>
      <c r="S106" s="244"/>
      <c r="T106" s="244"/>
      <c r="U106" s="244"/>
    </row>
    <row r="107" spans="1:21" ht="12.5">
      <c r="B107" s="145" t="str">
        <f t="shared" si="27"/>
        <v/>
      </c>
      <c r="C107" s="496">
        <f>IF(D94="","-",+C106+1)</f>
        <v>2021</v>
      </c>
      <c r="D107" s="497">
        <v>17075535.423786186</v>
      </c>
      <c r="E107" s="499">
        <v>809703.4</v>
      </c>
      <c r="F107" s="506">
        <v>16265832.023786185</v>
      </c>
      <c r="G107" s="506">
        <v>16670683.723786186</v>
      </c>
      <c r="H107" s="499">
        <v>2776210.8124179048</v>
      </c>
      <c r="I107" s="500">
        <v>2776210.8124179048</v>
      </c>
      <c r="J107" s="505">
        <f t="shared" si="31"/>
        <v>0</v>
      </c>
      <c r="K107" s="505"/>
      <c r="L107" s="507">
        <f t="shared" ref="L107" si="32">H107</f>
        <v>2776210.8124179048</v>
      </c>
      <c r="M107" s="505">
        <f t="shared" ref="M107" si="33">IF(L107&lt;&gt;0,+H107-L107,0)</f>
        <v>0</v>
      </c>
      <c r="N107" s="507">
        <f t="shared" ref="N107" si="34">I107</f>
        <v>2776210.8124179048</v>
      </c>
      <c r="O107" s="505">
        <f t="shared" si="25"/>
        <v>0</v>
      </c>
      <c r="P107" s="505">
        <f t="shared" si="26"/>
        <v>0</v>
      </c>
      <c r="Q107" s="244"/>
      <c r="R107" s="244"/>
      <c r="S107" s="244"/>
      <c r="T107" s="244"/>
      <c r="U107" s="244"/>
    </row>
    <row r="108" spans="1:21" ht="12.5">
      <c r="B108" s="145" t="str">
        <f t="shared" si="27"/>
        <v/>
      </c>
      <c r="C108" s="496">
        <f>IF(D94="","-",+C107+1)</f>
        <v>2022</v>
      </c>
      <c r="D108" s="497">
        <v>16265832.023786185</v>
      </c>
      <c r="E108" s="499">
        <v>963932.61904761905</v>
      </c>
      <c r="F108" s="506">
        <v>15301899.404738566</v>
      </c>
      <c r="G108" s="506">
        <v>15783865.714262376</v>
      </c>
      <c r="H108" s="499">
        <v>2778540.7772450992</v>
      </c>
      <c r="I108" s="500">
        <v>2778540.7772450992</v>
      </c>
      <c r="J108" s="505">
        <f t="shared" si="31"/>
        <v>0</v>
      </c>
      <c r="K108" s="505"/>
      <c r="L108" s="507">
        <f t="shared" ref="L108" si="35">H108</f>
        <v>2778540.7772450992</v>
      </c>
      <c r="M108" s="505">
        <f t="shared" ref="M108" si="36">IF(L108&lt;&gt;0,+H108-L108,0)</f>
        <v>0</v>
      </c>
      <c r="N108" s="507">
        <f t="shared" ref="N108" si="37">I108</f>
        <v>2778540.7772450992</v>
      </c>
      <c r="O108" s="505">
        <f t="shared" ref="O108" si="38">IF(N108&lt;&gt;0,+I108-N108,0)</f>
        <v>0</v>
      </c>
      <c r="P108" s="505">
        <f t="shared" ref="P108" si="39">+O108-M108</f>
        <v>0</v>
      </c>
      <c r="Q108" s="244"/>
      <c r="R108" s="244"/>
      <c r="S108" s="244"/>
      <c r="T108" s="244"/>
      <c r="U108" s="244"/>
    </row>
    <row r="109" spans="1:21" ht="12.5">
      <c r="B109" s="145" t="str">
        <f t="shared" si="27"/>
        <v>IU</v>
      </c>
      <c r="C109" s="496">
        <f>IF(D94="","-",+C108+1)</f>
        <v>2023</v>
      </c>
      <c r="D109" s="350">
        <f>IF(F108+SUM(E$100:E108)=D$93,F108,D$93-SUM(E$100:E108))</f>
        <v>15301899.454738563</v>
      </c>
      <c r="E109" s="629">
        <f t="shared" ref="E109:E155" si="40">IF(+$J$97&lt;F108,$J$97,D109)</f>
        <v>1065399.2131578948</v>
      </c>
      <c r="F109" s="511">
        <f t="shared" ref="F109:F155" si="41">+D109-E109</f>
        <v>14236500.241580669</v>
      </c>
      <c r="G109" s="511">
        <f t="shared" ref="G109:G155" si="42">+(F109+D109)/2</f>
        <v>14769199.848159615</v>
      </c>
      <c r="H109" s="645">
        <f t="shared" ref="H109:H155" si="43">(D109+F109)/2*J$95+E109</f>
        <v>2684608.0352350613</v>
      </c>
      <c r="I109" s="630">
        <f t="shared" ref="I109:I155" si="44">+J$96*G109+E109</f>
        <v>2684608.0352350613</v>
      </c>
      <c r="J109" s="505">
        <f t="shared" si="31"/>
        <v>0</v>
      </c>
      <c r="K109" s="505"/>
      <c r="L109" s="513"/>
      <c r="M109" s="505">
        <f t="shared" si="24"/>
        <v>0</v>
      </c>
      <c r="N109" s="513"/>
      <c r="O109" s="505">
        <f t="shared" si="25"/>
        <v>0</v>
      </c>
      <c r="P109" s="505">
        <f t="shared" si="26"/>
        <v>0</v>
      </c>
      <c r="Q109" s="244"/>
      <c r="R109" s="244"/>
      <c r="S109" s="244"/>
      <c r="T109" s="244"/>
      <c r="U109" s="244"/>
    </row>
    <row r="110" spans="1:21" ht="12.5">
      <c r="B110" s="145" t="str">
        <f t="shared" si="27"/>
        <v/>
      </c>
      <c r="C110" s="496">
        <f>IF(D94="","-",+C109+1)</f>
        <v>2024</v>
      </c>
      <c r="D110" s="350">
        <f>IF(F109+SUM(E$100:E109)=D$93,F109,D$93-SUM(E$100:E109))</f>
        <v>14236500.241580669</v>
      </c>
      <c r="E110" s="629">
        <f t="shared" si="40"/>
        <v>1065399.2131578948</v>
      </c>
      <c r="F110" s="511">
        <f t="shared" si="41"/>
        <v>13171101.028422775</v>
      </c>
      <c r="G110" s="511">
        <f t="shared" si="42"/>
        <v>13703800.635001723</v>
      </c>
      <c r="H110" s="645">
        <f t="shared" si="43"/>
        <v>2567803.8872300969</v>
      </c>
      <c r="I110" s="630">
        <f t="shared" si="44"/>
        <v>2567803.8872300969</v>
      </c>
      <c r="J110" s="505">
        <f t="shared" si="31"/>
        <v>0</v>
      </c>
      <c r="K110" s="505"/>
      <c r="L110" s="513"/>
      <c r="M110" s="505">
        <f t="shared" si="24"/>
        <v>0</v>
      </c>
      <c r="N110" s="513"/>
      <c r="O110" s="505">
        <f t="shared" si="25"/>
        <v>0</v>
      </c>
      <c r="P110" s="505">
        <f t="shared" si="26"/>
        <v>0</v>
      </c>
      <c r="Q110" s="244"/>
      <c r="R110" s="244"/>
      <c r="S110" s="244"/>
      <c r="T110" s="244"/>
      <c r="U110" s="244"/>
    </row>
    <row r="111" spans="1:21" ht="12.5">
      <c r="B111" s="145" t="str">
        <f t="shared" si="27"/>
        <v/>
      </c>
      <c r="C111" s="496">
        <f>IF(D94="","-",+C110+1)</f>
        <v>2025</v>
      </c>
      <c r="D111" s="350">
        <f>IF(F110+SUM(E$100:E110)=D$93,F110,D$93-SUM(E$100:E110))</f>
        <v>13171101.028422775</v>
      </c>
      <c r="E111" s="629">
        <f t="shared" si="40"/>
        <v>1065399.2131578948</v>
      </c>
      <c r="F111" s="511">
        <f t="shared" si="41"/>
        <v>12105701.815264881</v>
      </c>
      <c r="G111" s="511">
        <f t="shared" si="42"/>
        <v>12638401.421843827</v>
      </c>
      <c r="H111" s="645">
        <f t="shared" si="43"/>
        <v>2450999.7392251324</v>
      </c>
      <c r="I111" s="630">
        <f t="shared" si="44"/>
        <v>2450999.7392251324</v>
      </c>
      <c r="J111" s="505">
        <f t="shared" si="31"/>
        <v>0</v>
      </c>
      <c r="K111" s="505"/>
      <c r="L111" s="513"/>
      <c r="M111" s="505">
        <f t="shared" si="24"/>
        <v>0</v>
      </c>
      <c r="N111" s="513"/>
      <c r="O111" s="505">
        <f t="shared" si="25"/>
        <v>0</v>
      </c>
      <c r="P111" s="505">
        <f t="shared" si="26"/>
        <v>0</v>
      </c>
      <c r="Q111" s="244"/>
      <c r="R111" s="244"/>
      <c r="S111" s="244"/>
      <c r="T111" s="244"/>
      <c r="U111" s="244"/>
    </row>
    <row r="112" spans="1:21" ht="12.5">
      <c r="B112" s="145" t="str">
        <f t="shared" si="27"/>
        <v/>
      </c>
      <c r="C112" s="496">
        <f>IF(D94="","-",+C111+1)</f>
        <v>2026</v>
      </c>
      <c r="D112" s="350">
        <f>IF(F111+SUM(E$100:E111)=D$93,F111,D$93-SUM(E$100:E111))</f>
        <v>12105701.815264881</v>
      </c>
      <c r="E112" s="629">
        <f t="shared" si="40"/>
        <v>1065399.2131578948</v>
      </c>
      <c r="F112" s="511">
        <f t="shared" si="41"/>
        <v>11040302.602106987</v>
      </c>
      <c r="G112" s="511">
        <f t="shared" si="42"/>
        <v>11573002.208685935</v>
      </c>
      <c r="H112" s="645">
        <f t="shared" si="43"/>
        <v>2334195.5912201684</v>
      </c>
      <c r="I112" s="630">
        <f t="shared" si="44"/>
        <v>2334195.5912201684</v>
      </c>
      <c r="J112" s="505">
        <f t="shared" si="31"/>
        <v>0</v>
      </c>
      <c r="K112" s="505"/>
      <c r="L112" s="513"/>
      <c r="M112" s="505">
        <f t="shared" si="24"/>
        <v>0</v>
      </c>
      <c r="N112" s="513"/>
      <c r="O112" s="505">
        <f t="shared" si="25"/>
        <v>0</v>
      </c>
      <c r="P112" s="505">
        <f t="shared" si="26"/>
        <v>0</v>
      </c>
      <c r="Q112" s="244"/>
      <c r="R112" s="244"/>
      <c r="S112" s="244"/>
      <c r="T112" s="244"/>
      <c r="U112" s="244"/>
    </row>
    <row r="113" spans="2:21" ht="12.5">
      <c r="B113" s="145" t="str">
        <f t="shared" si="27"/>
        <v/>
      </c>
      <c r="C113" s="496">
        <f>IF(D94="","-",+C112+1)</f>
        <v>2027</v>
      </c>
      <c r="D113" s="350">
        <f>IF(F112+SUM(E$100:E112)=D$93,F112,D$93-SUM(E$100:E112))</f>
        <v>11040302.602106987</v>
      </c>
      <c r="E113" s="629">
        <f t="shared" si="40"/>
        <v>1065399.2131578948</v>
      </c>
      <c r="F113" s="511">
        <f t="shared" si="41"/>
        <v>9974903.3889490925</v>
      </c>
      <c r="G113" s="511">
        <f t="shared" si="42"/>
        <v>10507602.995528039</v>
      </c>
      <c r="H113" s="645">
        <f t="shared" si="43"/>
        <v>2217391.4432152035</v>
      </c>
      <c r="I113" s="630">
        <f t="shared" si="44"/>
        <v>2217391.4432152035</v>
      </c>
      <c r="J113" s="505">
        <f t="shared" si="31"/>
        <v>0</v>
      </c>
      <c r="K113" s="505"/>
      <c r="L113" s="513"/>
      <c r="M113" s="505">
        <f t="shared" si="24"/>
        <v>0</v>
      </c>
      <c r="N113" s="513"/>
      <c r="O113" s="505">
        <f t="shared" si="25"/>
        <v>0</v>
      </c>
      <c r="P113" s="505">
        <f t="shared" si="26"/>
        <v>0</v>
      </c>
      <c r="Q113" s="244"/>
      <c r="R113" s="244"/>
      <c r="S113" s="244"/>
      <c r="T113" s="244"/>
      <c r="U113" s="244"/>
    </row>
    <row r="114" spans="2:21" ht="12.5">
      <c r="B114" s="145" t="str">
        <f t="shared" si="27"/>
        <v/>
      </c>
      <c r="C114" s="496">
        <f>IF(D94="","-",+C113+1)</f>
        <v>2028</v>
      </c>
      <c r="D114" s="350">
        <f>IF(F113+SUM(E$100:E113)=D$93,F113,D$93-SUM(E$100:E113))</f>
        <v>9974903.3889490925</v>
      </c>
      <c r="E114" s="629">
        <f t="shared" si="40"/>
        <v>1065399.2131578948</v>
      </c>
      <c r="F114" s="511">
        <f t="shared" si="41"/>
        <v>8909504.1757911984</v>
      </c>
      <c r="G114" s="511">
        <f t="shared" si="42"/>
        <v>9442203.7823701464</v>
      </c>
      <c r="H114" s="645">
        <f t="shared" si="43"/>
        <v>2100587.2952102395</v>
      </c>
      <c r="I114" s="630">
        <f t="shared" si="44"/>
        <v>2100587.2952102395</v>
      </c>
      <c r="J114" s="505">
        <f t="shared" si="31"/>
        <v>0</v>
      </c>
      <c r="K114" s="505"/>
      <c r="L114" s="513"/>
      <c r="M114" s="505">
        <f t="shared" si="24"/>
        <v>0</v>
      </c>
      <c r="N114" s="513"/>
      <c r="O114" s="505">
        <f t="shared" si="25"/>
        <v>0</v>
      </c>
      <c r="P114" s="505">
        <f t="shared" si="26"/>
        <v>0</v>
      </c>
      <c r="Q114" s="244"/>
      <c r="R114" s="244"/>
      <c r="S114" s="244"/>
      <c r="T114" s="244"/>
      <c r="U114" s="244"/>
    </row>
    <row r="115" spans="2:21" ht="12.5">
      <c r="B115" s="145" t="str">
        <f t="shared" si="27"/>
        <v/>
      </c>
      <c r="C115" s="496">
        <f>IF(D94="","-",+C114+1)</f>
        <v>2029</v>
      </c>
      <c r="D115" s="350">
        <f>IF(F114+SUM(E$100:E114)=D$93,F114,D$93-SUM(E$100:E114))</f>
        <v>8909504.1757911984</v>
      </c>
      <c r="E115" s="629">
        <f t="shared" si="40"/>
        <v>1065399.2131578948</v>
      </c>
      <c r="F115" s="511">
        <f t="shared" si="41"/>
        <v>7844104.9626333034</v>
      </c>
      <c r="G115" s="511">
        <f t="shared" si="42"/>
        <v>8376804.5692122504</v>
      </c>
      <c r="H115" s="645">
        <f t="shared" si="43"/>
        <v>1983783.1472052746</v>
      </c>
      <c r="I115" s="630">
        <f t="shared" si="44"/>
        <v>1983783.1472052746</v>
      </c>
      <c r="J115" s="505">
        <f t="shared" si="31"/>
        <v>0</v>
      </c>
      <c r="K115" s="505"/>
      <c r="L115" s="513"/>
      <c r="M115" s="505">
        <f t="shared" si="24"/>
        <v>0</v>
      </c>
      <c r="N115" s="513"/>
      <c r="O115" s="505">
        <f t="shared" si="25"/>
        <v>0</v>
      </c>
      <c r="P115" s="505">
        <f t="shared" si="26"/>
        <v>0</v>
      </c>
      <c r="Q115" s="244"/>
      <c r="R115" s="244"/>
      <c r="S115" s="244"/>
      <c r="T115" s="244"/>
      <c r="U115" s="244"/>
    </row>
    <row r="116" spans="2:21" ht="12.5">
      <c r="B116" s="145" t="str">
        <f t="shared" si="27"/>
        <v/>
      </c>
      <c r="C116" s="496">
        <f>IF(D94="","-",+C115+1)</f>
        <v>2030</v>
      </c>
      <c r="D116" s="350">
        <f>IF(F115+SUM(E$100:E115)=D$93,F115,D$93-SUM(E$100:E115))</f>
        <v>7844104.9626333034</v>
      </c>
      <c r="E116" s="629">
        <f t="shared" si="40"/>
        <v>1065399.2131578948</v>
      </c>
      <c r="F116" s="511">
        <f t="shared" si="41"/>
        <v>6778705.7494754083</v>
      </c>
      <c r="G116" s="511">
        <f t="shared" si="42"/>
        <v>7311405.3560543563</v>
      </c>
      <c r="H116" s="645">
        <f t="shared" si="43"/>
        <v>1866978.9992003101</v>
      </c>
      <c r="I116" s="630">
        <f t="shared" si="44"/>
        <v>1866978.9992003101</v>
      </c>
      <c r="J116" s="505">
        <f t="shared" si="31"/>
        <v>0</v>
      </c>
      <c r="K116" s="505"/>
      <c r="L116" s="513"/>
      <c r="M116" s="505">
        <f t="shared" si="24"/>
        <v>0</v>
      </c>
      <c r="N116" s="513"/>
      <c r="O116" s="505">
        <f t="shared" si="25"/>
        <v>0</v>
      </c>
      <c r="P116" s="505">
        <f t="shared" si="26"/>
        <v>0</v>
      </c>
      <c r="Q116" s="244"/>
      <c r="R116" s="244"/>
      <c r="S116" s="244"/>
      <c r="T116" s="244"/>
      <c r="U116" s="244"/>
    </row>
    <row r="117" spans="2:21" ht="12.5">
      <c r="B117" s="145" t="str">
        <f t="shared" si="27"/>
        <v/>
      </c>
      <c r="C117" s="496">
        <f>IF(D94="","-",+C116+1)</f>
        <v>2031</v>
      </c>
      <c r="D117" s="350">
        <f>IF(F116+SUM(E$100:E116)=D$93,F116,D$93-SUM(E$100:E116))</f>
        <v>6778705.7494754083</v>
      </c>
      <c r="E117" s="629">
        <f t="shared" si="40"/>
        <v>1065399.2131578948</v>
      </c>
      <c r="F117" s="511">
        <f t="shared" si="41"/>
        <v>5713306.5363175133</v>
      </c>
      <c r="G117" s="511">
        <f t="shared" si="42"/>
        <v>6246006.1428964604</v>
      </c>
      <c r="H117" s="645">
        <f t="shared" si="43"/>
        <v>1750174.8511953456</v>
      </c>
      <c r="I117" s="630">
        <f t="shared" si="44"/>
        <v>1750174.8511953456</v>
      </c>
      <c r="J117" s="505">
        <f t="shared" si="31"/>
        <v>0</v>
      </c>
      <c r="K117" s="505"/>
      <c r="L117" s="513"/>
      <c r="M117" s="505">
        <f t="shared" si="24"/>
        <v>0</v>
      </c>
      <c r="N117" s="513"/>
      <c r="O117" s="505">
        <f t="shared" si="25"/>
        <v>0</v>
      </c>
      <c r="P117" s="505">
        <f t="shared" si="26"/>
        <v>0</v>
      </c>
      <c r="Q117" s="244"/>
      <c r="R117" s="244"/>
      <c r="S117" s="244"/>
      <c r="T117" s="244"/>
      <c r="U117" s="244"/>
    </row>
    <row r="118" spans="2:21" ht="12.5">
      <c r="B118" s="145" t="str">
        <f t="shared" si="27"/>
        <v/>
      </c>
      <c r="C118" s="496">
        <f>IF(D94="","-",+C117+1)</f>
        <v>2032</v>
      </c>
      <c r="D118" s="350">
        <f>IF(F117+SUM(E$100:E117)=D$93,F117,D$93-SUM(E$100:E117))</f>
        <v>5713306.5363175133</v>
      </c>
      <c r="E118" s="629">
        <f t="shared" si="40"/>
        <v>1065399.2131578948</v>
      </c>
      <c r="F118" s="511">
        <f t="shared" si="41"/>
        <v>4647907.3231596183</v>
      </c>
      <c r="G118" s="511">
        <f t="shared" si="42"/>
        <v>5180606.9297385663</v>
      </c>
      <c r="H118" s="645">
        <f t="shared" si="43"/>
        <v>1633370.7031903812</v>
      </c>
      <c r="I118" s="630">
        <f t="shared" si="44"/>
        <v>1633370.7031903812</v>
      </c>
      <c r="J118" s="505">
        <f t="shared" si="31"/>
        <v>0</v>
      </c>
      <c r="K118" s="505"/>
      <c r="L118" s="513"/>
      <c r="M118" s="505">
        <f t="shared" si="24"/>
        <v>0</v>
      </c>
      <c r="N118" s="513"/>
      <c r="O118" s="505">
        <f t="shared" si="25"/>
        <v>0</v>
      </c>
      <c r="P118" s="505">
        <f t="shared" si="26"/>
        <v>0</v>
      </c>
      <c r="Q118" s="244"/>
      <c r="R118" s="244"/>
      <c r="S118" s="244"/>
      <c r="T118" s="244"/>
      <c r="U118" s="244"/>
    </row>
    <row r="119" spans="2:21" ht="12.5">
      <c r="B119" s="145" t="str">
        <f t="shared" si="27"/>
        <v/>
      </c>
      <c r="C119" s="496">
        <f>IF(D94="","-",+C118+1)</f>
        <v>2033</v>
      </c>
      <c r="D119" s="350">
        <f>IF(F118+SUM(E$100:E118)=D$93,F118,D$93-SUM(E$100:E118))</f>
        <v>4647907.3231596183</v>
      </c>
      <c r="E119" s="629">
        <f t="shared" si="40"/>
        <v>1065399.2131578948</v>
      </c>
      <c r="F119" s="511">
        <f t="shared" si="41"/>
        <v>3582508.1100017233</v>
      </c>
      <c r="G119" s="511">
        <f t="shared" si="42"/>
        <v>4115207.7165806708</v>
      </c>
      <c r="H119" s="645">
        <f t="shared" si="43"/>
        <v>1516566.5551854167</v>
      </c>
      <c r="I119" s="630">
        <f t="shared" si="44"/>
        <v>1516566.5551854167</v>
      </c>
      <c r="J119" s="505">
        <f t="shared" si="31"/>
        <v>0</v>
      </c>
      <c r="K119" s="505"/>
      <c r="L119" s="513"/>
      <c r="M119" s="505">
        <f t="shared" si="24"/>
        <v>0</v>
      </c>
      <c r="N119" s="513"/>
      <c r="O119" s="505">
        <f t="shared" si="25"/>
        <v>0</v>
      </c>
      <c r="P119" s="505">
        <f t="shared" si="26"/>
        <v>0</v>
      </c>
      <c r="Q119" s="244"/>
      <c r="R119" s="244"/>
      <c r="S119" s="244"/>
      <c r="T119" s="244"/>
      <c r="U119" s="244"/>
    </row>
    <row r="120" spans="2:21" ht="12.5">
      <c r="B120" s="145" t="str">
        <f t="shared" si="27"/>
        <v/>
      </c>
      <c r="C120" s="496">
        <f>IF(D94="","-",+C119+1)</f>
        <v>2034</v>
      </c>
      <c r="D120" s="350">
        <f>IF(F119+SUM(E$100:E119)=D$93,F119,D$93-SUM(E$100:E119))</f>
        <v>3582508.1100017233</v>
      </c>
      <c r="E120" s="629">
        <f t="shared" si="40"/>
        <v>1065399.2131578948</v>
      </c>
      <c r="F120" s="511">
        <f t="shared" si="41"/>
        <v>2517108.8968438283</v>
      </c>
      <c r="G120" s="511">
        <f t="shared" si="42"/>
        <v>3049808.5034227758</v>
      </c>
      <c r="H120" s="645">
        <f t="shared" si="43"/>
        <v>1399762.4071804523</v>
      </c>
      <c r="I120" s="630">
        <f t="shared" si="44"/>
        <v>1399762.4071804523</v>
      </c>
      <c r="J120" s="505">
        <f t="shared" si="31"/>
        <v>0</v>
      </c>
      <c r="K120" s="505"/>
      <c r="L120" s="513"/>
      <c r="M120" s="505">
        <f t="shared" si="24"/>
        <v>0</v>
      </c>
      <c r="N120" s="513"/>
      <c r="O120" s="505">
        <f t="shared" si="25"/>
        <v>0</v>
      </c>
      <c r="P120" s="505">
        <f t="shared" si="26"/>
        <v>0</v>
      </c>
      <c r="Q120" s="244"/>
      <c r="R120" s="244"/>
      <c r="S120" s="244"/>
      <c r="T120" s="244"/>
      <c r="U120" s="244"/>
    </row>
    <row r="121" spans="2:21" ht="12.5">
      <c r="B121" s="145" t="str">
        <f t="shared" si="27"/>
        <v/>
      </c>
      <c r="C121" s="496">
        <f>IF(D94="","-",+C120+1)</f>
        <v>2035</v>
      </c>
      <c r="D121" s="350">
        <f>IF(F120+SUM(E$100:E120)=D$93,F120,D$93-SUM(E$100:E120))</f>
        <v>2517108.8968438283</v>
      </c>
      <c r="E121" s="629">
        <f t="shared" si="40"/>
        <v>1065399.2131578948</v>
      </c>
      <c r="F121" s="511">
        <f t="shared" si="41"/>
        <v>1451709.6836859335</v>
      </c>
      <c r="G121" s="511">
        <f t="shared" si="42"/>
        <v>1984409.2902648808</v>
      </c>
      <c r="H121" s="645">
        <f t="shared" si="43"/>
        <v>1282958.2591754876</v>
      </c>
      <c r="I121" s="630">
        <f t="shared" si="44"/>
        <v>1282958.2591754876</v>
      </c>
      <c r="J121" s="505">
        <f t="shared" si="31"/>
        <v>0</v>
      </c>
      <c r="K121" s="505"/>
      <c r="L121" s="513"/>
      <c r="M121" s="505">
        <f t="shared" si="24"/>
        <v>0</v>
      </c>
      <c r="N121" s="513"/>
      <c r="O121" s="505">
        <f t="shared" si="25"/>
        <v>0</v>
      </c>
      <c r="P121" s="505">
        <f t="shared" si="26"/>
        <v>0</v>
      </c>
      <c r="Q121" s="244"/>
      <c r="R121" s="244"/>
      <c r="S121" s="244"/>
      <c r="T121" s="244"/>
      <c r="U121" s="244"/>
    </row>
    <row r="122" spans="2:21" ht="12.5">
      <c r="B122" s="145" t="str">
        <f t="shared" si="27"/>
        <v/>
      </c>
      <c r="C122" s="496">
        <f>IF(D94="","-",+C121+1)</f>
        <v>2036</v>
      </c>
      <c r="D122" s="350">
        <f>IF(F121+SUM(E$100:E121)=D$93,F121,D$93-SUM(E$100:E121))</f>
        <v>1451709.6836859335</v>
      </c>
      <c r="E122" s="629">
        <f t="shared" si="40"/>
        <v>1065399.2131578948</v>
      </c>
      <c r="F122" s="511">
        <f t="shared" si="41"/>
        <v>386310.47052803868</v>
      </c>
      <c r="G122" s="511">
        <f t="shared" si="42"/>
        <v>919010.07710698608</v>
      </c>
      <c r="H122" s="645">
        <f t="shared" si="43"/>
        <v>1166154.1111705231</v>
      </c>
      <c r="I122" s="630">
        <f t="shared" si="44"/>
        <v>1166154.1111705231</v>
      </c>
      <c r="J122" s="505">
        <f t="shared" si="31"/>
        <v>0</v>
      </c>
      <c r="K122" s="505"/>
      <c r="L122" s="513"/>
      <c r="M122" s="505">
        <f t="shared" si="24"/>
        <v>0</v>
      </c>
      <c r="N122" s="513"/>
      <c r="O122" s="505">
        <f t="shared" si="25"/>
        <v>0</v>
      </c>
      <c r="P122" s="505">
        <f t="shared" si="26"/>
        <v>0</v>
      </c>
      <c r="Q122" s="244"/>
      <c r="R122" s="244"/>
      <c r="S122" s="244"/>
      <c r="T122" s="244"/>
      <c r="U122" s="244"/>
    </row>
    <row r="123" spans="2:21" ht="12.5">
      <c r="B123" s="145" t="str">
        <f t="shared" si="27"/>
        <v/>
      </c>
      <c r="C123" s="496">
        <f>IF(D94="","-",+C122+1)</f>
        <v>2037</v>
      </c>
      <c r="D123" s="350">
        <f>IF(F122+SUM(E$100:E122)=D$93,F122,D$93-SUM(E$100:E122))</f>
        <v>386310.47052803868</v>
      </c>
      <c r="E123" s="629">
        <f t="shared" si="40"/>
        <v>386310.47052803868</v>
      </c>
      <c r="F123" s="511">
        <f t="shared" si="41"/>
        <v>0</v>
      </c>
      <c r="G123" s="511">
        <f t="shared" si="42"/>
        <v>193155.23526401934</v>
      </c>
      <c r="H123" s="645">
        <f t="shared" si="43"/>
        <v>407486.88253311178</v>
      </c>
      <c r="I123" s="630">
        <f t="shared" si="44"/>
        <v>407486.88253311178</v>
      </c>
      <c r="J123" s="505">
        <f t="shared" si="31"/>
        <v>0</v>
      </c>
      <c r="K123" s="505"/>
      <c r="L123" s="513"/>
      <c r="M123" s="505">
        <f t="shared" si="24"/>
        <v>0</v>
      </c>
      <c r="N123" s="513"/>
      <c r="O123" s="505">
        <f t="shared" si="25"/>
        <v>0</v>
      </c>
      <c r="P123" s="505">
        <f t="shared" si="26"/>
        <v>0</v>
      </c>
      <c r="Q123" s="244"/>
      <c r="R123" s="244"/>
      <c r="S123" s="244"/>
      <c r="T123" s="244"/>
      <c r="U123" s="244"/>
    </row>
    <row r="124" spans="2:21" ht="12.5">
      <c r="B124" s="145" t="str">
        <f t="shared" si="27"/>
        <v/>
      </c>
      <c r="C124" s="496">
        <f>IF(D94="","-",+C123+1)</f>
        <v>2038</v>
      </c>
      <c r="D124" s="350">
        <f>IF(F123+SUM(E$100:E123)=D$93,F123,D$93-SUM(E$100:E123))</f>
        <v>0</v>
      </c>
      <c r="E124" s="629">
        <f t="shared" si="40"/>
        <v>0</v>
      </c>
      <c r="F124" s="511">
        <f t="shared" si="41"/>
        <v>0</v>
      </c>
      <c r="G124" s="511">
        <f t="shared" si="42"/>
        <v>0</v>
      </c>
      <c r="H124" s="645">
        <f t="shared" si="43"/>
        <v>0</v>
      </c>
      <c r="I124" s="630">
        <f t="shared" si="44"/>
        <v>0</v>
      </c>
      <c r="J124" s="505">
        <f t="shared" si="31"/>
        <v>0</v>
      </c>
      <c r="K124" s="505"/>
      <c r="L124" s="513"/>
      <c r="M124" s="505">
        <f t="shared" si="24"/>
        <v>0</v>
      </c>
      <c r="N124" s="513"/>
      <c r="O124" s="505">
        <f t="shared" si="25"/>
        <v>0</v>
      </c>
      <c r="P124" s="505">
        <f t="shared" si="26"/>
        <v>0</v>
      </c>
      <c r="Q124" s="244"/>
      <c r="R124" s="244"/>
      <c r="S124" s="244"/>
      <c r="T124" s="244"/>
      <c r="U124" s="244"/>
    </row>
    <row r="125" spans="2:21" ht="12.5">
      <c r="B125" s="145" t="str">
        <f t="shared" si="27"/>
        <v/>
      </c>
      <c r="C125" s="496">
        <f>IF(D94="","-",+C124+1)</f>
        <v>2039</v>
      </c>
      <c r="D125" s="350">
        <f>IF(F124+SUM(E$100:E124)=D$93,F124,D$93-SUM(E$100:E124))</f>
        <v>0</v>
      </c>
      <c r="E125" s="629">
        <f t="shared" si="40"/>
        <v>0</v>
      </c>
      <c r="F125" s="511">
        <f t="shared" si="41"/>
        <v>0</v>
      </c>
      <c r="G125" s="511">
        <f t="shared" si="42"/>
        <v>0</v>
      </c>
      <c r="H125" s="645">
        <f t="shared" si="43"/>
        <v>0</v>
      </c>
      <c r="I125" s="630">
        <f t="shared" si="44"/>
        <v>0</v>
      </c>
      <c r="J125" s="505">
        <f t="shared" si="31"/>
        <v>0</v>
      </c>
      <c r="K125" s="505"/>
      <c r="L125" s="513"/>
      <c r="M125" s="505">
        <f t="shared" si="24"/>
        <v>0</v>
      </c>
      <c r="N125" s="513"/>
      <c r="O125" s="505">
        <f t="shared" si="25"/>
        <v>0</v>
      </c>
      <c r="P125" s="505">
        <f t="shared" si="26"/>
        <v>0</v>
      </c>
      <c r="Q125" s="244"/>
      <c r="R125" s="244"/>
      <c r="S125" s="244"/>
      <c r="T125" s="244"/>
      <c r="U125" s="244"/>
    </row>
    <row r="126" spans="2:21" ht="12.5">
      <c r="B126" s="145" t="str">
        <f t="shared" si="27"/>
        <v/>
      </c>
      <c r="C126" s="496">
        <f>IF(D94="","-",+C125+1)</f>
        <v>2040</v>
      </c>
      <c r="D126" s="350">
        <f>IF(F125+SUM(E$100:E125)=D$93,F125,D$93-SUM(E$100:E125))</f>
        <v>0</v>
      </c>
      <c r="E126" s="629">
        <f t="shared" si="40"/>
        <v>0</v>
      </c>
      <c r="F126" s="511">
        <f t="shared" si="41"/>
        <v>0</v>
      </c>
      <c r="G126" s="511">
        <f t="shared" si="42"/>
        <v>0</v>
      </c>
      <c r="H126" s="645">
        <f t="shared" si="43"/>
        <v>0</v>
      </c>
      <c r="I126" s="630">
        <f t="shared" si="44"/>
        <v>0</v>
      </c>
      <c r="J126" s="505">
        <f t="shared" si="31"/>
        <v>0</v>
      </c>
      <c r="K126" s="505"/>
      <c r="L126" s="513"/>
      <c r="M126" s="505">
        <f t="shared" si="24"/>
        <v>0</v>
      </c>
      <c r="N126" s="513"/>
      <c r="O126" s="505">
        <f t="shared" si="25"/>
        <v>0</v>
      </c>
      <c r="P126" s="505">
        <f t="shared" si="26"/>
        <v>0</v>
      </c>
      <c r="Q126" s="244"/>
      <c r="R126" s="244"/>
      <c r="S126" s="244"/>
      <c r="T126" s="244"/>
      <c r="U126" s="244"/>
    </row>
    <row r="127" spans="2:21" ht="12.5">
      <c r="B127" s="145" t="str">
        <f t="shared" si="27"/>
        <v/>
      </c>
      <c r="C127" s="496">
        <f>IF(D94="","-",+C126+1)</f>
        <v>2041</v>
      </c>
      <c r="D127" s="350">
        <f>IF(F126+SUM(E$100:E126)=D$93,F126,D$93-SUM(E$100:E126))</f>
        <v>0</v>
      </c>
      <c r="E127" s="629">
        <f t="shared" si="40"/>
        <v>0</v>
      </c>
      <c r="F127" s="511">
        <f t="shared" si="41"/>
        <v>0</v>
      </c>
      <c r="G127" s="511">
        <f t="shared" si="42"/>
        <v>0</v>
      </c>
      <c r="H127" s="645">
        <f t="shared" si="43"/>
        <v>0</v>
      </c>
      <c r="I127" s="630">
        <f t="shared" si="44"/>
        <v>0</v>
      </c>
      <c r="J127" s="505">
        <f t="shared" si="31"/>
        <v>0</v>
      </c>
      <c r="K127" s="505"/>
      <c r="L127" s="513"/>
      <c r="M127" s="505">
        <f t="shared" si="24"/>
        <v>0</v>
      </c>
      <c r="N127" s="513"/>
      <c r="O127" s="505">
        <f t="shared" si="25"/>
        <v>0</v>
      </c>
      <c r="P127" s="505">
        <f t="shared" si="26"/>
        <v>0</v>
      </c>
      <c r="Q127" s="244"/>
      <c r="R127" s="244"/>
      <c r="S127" s="244"/>
      <c r="T127" s="244"/>
      <c r="U127" s="244"/>
    </row>
    <row r="128" spans="2:21" ht="12.5">
      <c r="B128" s="145" t="str">
        <f t="shared" si="27"/>
        <v/>
      </c>
      <c r="C128" s="496">
        <f>IF(D94="","-",+C127+1)</f>
        <v>2042</v>
      </c>
      <c r="D128" s="350">
        <f>IF(F127+SUM(E$100:E127)=D$93,F127,D$93-SUM(E$100:E127))</f>
        <v>0</v>
      </c>
      <c r="E128" s="629">
        <f t="shared" si="40"/>
        <v>0</v>
      </c>
      <c r="F128" s="511">
        <f t="shared" si="41"/>
        <v>0</v>
      </c>
      <c r="G128" s="511">
        <f t="shared" si="42"/>
        <v>0</v>
      </c>
      <c r="H128" s="645">
        <f t="shared" si="43"/>
        <v>0</v>
      </c>
      <c r="I128" s="630">
        <f t="shared" si="44"/>
        <v>0</v>
      </c>
      <c r="J128" s="505">
        <f t="shared" si="31"/>
        <v>0</v>
      </c>
      <c r="K128" s="505"/>
      <c r="L128" s="513"/>
      <c r="M128" s="505">
        <f t="shared" si="24"/>
        <v>0</v>
      </c>
      <c r="N128" s="513"/>
      <c r="O128" s="505">
        <f t="shared" si="25"/>
        <v>0</v>
      </c>
      <c r="P128" s="505">
        <f t="shared" si="26"/>
        <v>0</v>
      </c>
      <c r="Q128" s="244"/>
      <c r="R128" s="244"/>
      <c r="S128" s="244"/>
      <c r="T128" s="244"/>
      <c r="U128" s="244"/>
    </row>
    <row r="129" spans="2:21" ht="12.5">
      <c r="B129" s="145" t="str">
        <f t="shared" si="27"/>
        <v/>
      </c>
      <c r="C129" s="496">
        <f>IF(D94="","-",+C128+1)</f>
        <v>2043</v>
      </c>
      <c r="D129" s="350">
        <f>IF(F128+SUM(E$100:E128)=D$93,F128,D$93-SUM(E$100:E128))</f>
        <v>0</v>
      </c>
      <c r="E129" s="629">
        <f t="shared" si="40"/>
        <v>0</v>
      </c>
      <c r="F129" s="511">
        <f t="shared" si="41"/>
        <v>0</v>
      </c>
      <c r="G129" s="511">
        <f t="shared" si="42"/>
        <v>0</v>
      </c>
      <c r="H129" s="645">
        <f t="shared" si="43"/>
        <v>0</v>
      </c>
      <c r="I129" s="630">
        <f t="shared" si="44"/>
        <v>0</v>
      </c>
      <c r="J129" s="505">
        <f t="shared" si="31"/>
        <v>0</v>
      </c>
      <c r="K129" s="505"/>
      <c r="L129" s="513"/>
      <c r="M129" s="505">
        <f t="shared" si="24"/>
        <v>0</v>
      </c>
      <c r="N129" s="513"/>
      <c r="O129" s="505">
        <f t="shared" si="25"/>
        <v>0</v>
      </c>
      <c r="P129" s="505">
        <f t="shared" si="26"/>
        <v>0</v>
      </c>
      <c r="Q129" s="244"/>
      <c r="R129" s="244"/>
      <c r="S129" s="244"/>
      <c r="T129" s="244"/>
      <c r="U129" s="244"/>
    </row>
    <row r="130" spans="2:21" ht="12.5">
      <c r="B130" s="145" t="str">
        <f t="shared" si="27"/>
        <v/>
      </c>
      <c r="C130" s="496">
        <f>IF(D94="","-",+C129+1)</f>
        <v>2044</v>
      </c>
      <c r="D130" s="350">
        <f>IF(F129+SUM(E$100:E129)=D$93,F129,D$93-SUM(E$100:E129))</f>
        <v>0</v>
      </c>
      <c r="E130" s="629">
        <f t="shared" si="40"/>
        <v>0</v>
      </c>
      <c r="F130" s="511">
        <f t="shared" si="41"/>
        <v>0</v>
      </c>
      <c r="G130" s="511">
        <f t="shared" si="42"/>
        <v>0</v>
      </c>
      <c r="H130" s="645">
        <f t="shared" si="43"/>
        <v>0</v>
      </c>
      <c r="I130" s="630">
        <f t="shared" si="44"/>
        <v>0</v>
      </c>
      <c r="J130" s="505">
        <f t="shared" si="31"/>
        <v>0</v>
      </c>
      <c r="K130" s="505"/>
      <c r="L130" s="513"/>
      <c r="M130" s="505">
        <f t="shared" si="24"/>
        <v>0</v>
      </c>
      <c r="N130" s="513"/>
      <c r="O130" s="505">
        <f t="shared" si="25"/>
        <v>0</v>
      </c>
      <c r="P130" s="505">
        <f t="shared" si="26"/>
        <v>0</v>
      </c>
      <c r="Q130" s="244"/>
      <c r="R130" s="244"/>
      <c r="S130" s="244"/>
      <c r="T130" s="244"/>
      <c r="U130" s="244"/>
    </row>
    <row r="131" spans="2:21" ht="12.5">
      <c r="B131" s="145" t="str">
        <f t="shared" si="27"/>
        <v/>
      </c>
      <c r="C131" s="496">
        <f>IF(D94="","-",+C130+1)</f>
        <v>2045</v>
      </c>
      <c r="D131" s="350">
        <f>IF(F130+SUM(E$100:E130)=D$93,F130,D$93-SUM(E$100:E130))</f>
        <v>0</v>
      </c>
      <c r="E131" s="629">
        <f t="shared" si="40"/>
        <v>0</v>
      </c>
      <c r="F131" s="511">
        <f t="shared" si="41"/>
        <v>0</v>
      </c>
      <c r="G131" s="511">
        <f t="shared" si="42"/>
        <v>0</v>
      </c>
      <c r="H131" s="645">
        <f t="shared" si="43"/>
        <v>0</v>
      </c>
      <c r="I131" s="630">
        <f t="shared" si="44"/>
        <v>0</v>
      </c>
      <c r="J131" s="505">
        <f t="shared" si="31"/>
        <v>0</v>
      </c>
      <c r="K131" s="505"/>
      <c r="L131" s="513"/>
      <c r="M131" s="505">
        <f t="shared" si="24"/>
        <v>0</v>
      </c>
      <c r="N131" s="513"/>
      <c r="O131" s="505">
        <f t="shared" si="25"/>
        <v>0</v>
      </c>
      <c r="P131" s="505">
        <f t="shared" si="26"/>
        <v>0</v>
      </c>
      <c r="Q131" s="244"/>
      <c r="R131" s="244"/>
      <c r="S131" s="244"/>
      <c r="T131" s="244"/>
      <c r="U131" s="244"/>
    </row>
    <row r="132" spans="2:21" ht="12.5">
      <c r="B132" s="145" t="str">
        <f t="shared" si="27"/>
        <v/>
      </c>
      <c r="C132" s="496">
        <f>IF(D94="","-",+C131+1)</f>
        <v>2046</v>
      </c>
      <c r="D132" s="350">
        <f>IF(F131+SUM(E$100:E131)=D$93,F131,D$93-SUM(E$100:E131))</f>
        <v>0</v>
      </c>
      <c r="E132" s="629">
        <f t="shared" si="40"/>
        <v>0</v>
      </c>
      <c r="F132" s="511">
        <f t="shared" si="41"/>
        <v>0</v>
      </c>
      <c r="G132" s="511">
        <f t="shared" si="42"/>
        <v>0</v>
      </c>
      <c r="H132" s="645">
        <f t="shared" si="43"/>
        <v>0</v>
      </c>
      <c r="I132" s="630">
        <f t="shared" si="44"/>
        <v>0</v>
      </c>
      <c r="J132" s="505">
        <f t="shared" si="31"/>
        <v>0</v>
      </c>
      <c r="K132" s="505"/>
      <c r="L132" s="513"/>
      <c r="M132" s="505">
        <f t="shared" ref="M132:M155" si="45">IF(L542&lt;&gt;0,+H542-L542,0)</f>
        <v>0</v>
      </c>
      <c r="N132" s="513"/>
      <c r="O132" s="505">
        <f t="shared" ref="O132:O155" si="46">IF(N542&lt;&gt;0,+I542-N542,0)</f>
        <v>0</v>
      </c>
      <c r="P132" s="505">
        <f t="shared" ref="P132:P155" si="47">+O542-M542</f>
        <v>0</v>
      </c>
      <c r="Q132" s="244"/>
      <c r="R132" s="244"/>
      <c r="S132" s="244"/>
      <c r="T132" s="244"/>
      <c r="U132" s="244"/>
    </row>
    <row r="133" spans="2:21" ht="12.5">
      <c r="B133" s="145" t="str">
        <f t="shared" si="27"/>
        <v/>
      </c>
      <c r="C133" s="496">
        <f>IF(D94="","-",+C132+1)</f>
        <v>2047</v>
      </c>
      <c r="D133" s="350">
        <f>IF(F132+SUM(E$100:E132)=D$93,F132,D$93-SUM(E$100:E132))</f>
        <v>0</v>
      </c>
      <c r="E133" s="629">
        <f t="shared" si="40"/>
        <v>0</v>
      </c>
      <c r="F133" s="511">
        <f t="shared" si="41"/>
        <v>0</v>
      </c>
      <c r="G133" s="511">
        <f t="shared" si="42"/>
        <v>0</v>
      </c>
      <c r="H133" s="645">
        <f t="shared" si="43"/>
        <v>0</v>
      </c>
      <c r="I133" s="630">
        <f t="shared" si="44"/>
        <v>0</v>
      </c>
      <c r="J133" s="505">
        <f t="shared" si="31"/>
        <v>0</v>
      </c>
      <c r="K133" s="505"/>
      <c r="L133" s="513"/>
      <c r="M133" s="505">
        <f t="shared" si="45"/>
        <v>0</v>
      </c>
      <c r="N133" s="513"/>
      <c r="O133" s="505">
        <f t="shared" si="46"/>
        <v>0</v>
      </c>
      <c r="P133" s="505">
        <f t="shared" si="47"/>
        <v>0</v>
      </c>
      <c r="Q133" s="244"/>
      <c r="R133" s="244"/>
      <c r="S133" s="244"/>
      <c r="T133" s="244"/>
      <c r="U133" s="244"/>
    </row>
    <row r="134" spans="2:21" ht="12.5">
      <c r="B134" s="145" t="str">
        <f t="shared" si="27"/>
        <v/>
      </c>
      <c r="C134" s="496">
        <f>IF(D94="","-",+C133+1)</f>
        <v>2048</v>
      </c>
      <c r="D134" s="350">
        <f>IF(F133+SUM(E$100:E133)=D$93,F133,D$93-SUM(E$100:E133))</f>
        <v>0</v>
      </c>
      <c r="E134" s="629">
        <f t="shared" si="40"/>
        <v>0</v>
      </c>
      <c r="F134" s="511">
        <f t="shared" si="41"/>
        <v>0</v>
      </c>
      <c r="G134" s="511">
        <f t="shared" si="42"/>
        <v>0</v>
      </c>
      <c r="H134" s="645">
        <f t="shared" si="43"/>
        <v>0</v>
      </c>
      <c r="I134" s="630">
        <f t="shared" si="44"/>
        <v>0</v>
      </c>
      <c r="J134" s="505">
        <f t="shared" si="31"/>
        <v>0</v>
      </c>
      <c r="K134" s="505"/>
      <c r="L134" s="513"/>
      <c r="M134" s="505">
        <f t="shared" si="45"/>
        <v>0</v>
      </c>
      <c r="N134" s="513"/>
      <c r="O134" s="505">
        <f t="shared" si="46"/>
        <v>0</v>
      </c>
      <c r="P134" s="505">
        <f t="shared" si="47"/>
        <v>0</v>
      </c>
      <c r="Q134" s="244"/>
      <c r="R134" s="244"/>
      <c r="S134" s="244"/>
      <c r="T134" s="244"/>
      <c r="U134" s="244"/>
    </row>
    <row r="135" spans="2:21" ht="12.5">
      <c r="B135" s="145" t="str">
        <f t="shared" si="27"/>
        <v/>
      </c>
      <c r="C135" s="496">
        <f>IF(D94="","-",+C134+1)</f>
        <v>2049</v>
      </c>
      <c r="D135" s="350">
        <f>IF(F134+SUM(E$100:E134)=D$93,F134,D$93-SUM(E$100:E134))</f>
        <v>0</v>
      </c>
      <c r="E135" s="629">
        <f t="shared" si="40"/>
        <v>0</v>
      </c>
      <c r="F135" s="511">
        <f t="shared" si="41"/>
        <v>0</v>
      </c>
      <c r="G135" s="511">
        <f t="shared" si="42"/>
        <v>0</v>
      </c>
      <c r="H135" s="645">
        <f t="shared" si="43"/>
        <v>0</v>
      </c>
      <c r="I135" s="630">
        <f t="shared" si="44"/>
        <v>0</v>
      </c>
      <c r="J135" s="505">
        <f t="shared" si="31"/>
        <v>0</v>
      </c>
      <c r="K135" s="505"/>
      <c r="L135" s="513"/>
      <c r="M135" s="505">
        <f t="shared" si="45"/>
        <v>0</v>
      </c>
      <c r="N135" s="513"/>
      <c r="O135" s="505">
        <f t="shared" si="46"/>
        <v>0</v>
      </c>
      <c r="P135" s="505">
        <f t="shared" si="47"/>
        <v>0</v>
      </c>
      <c r="Q135" s="244"/>
      <c r="R135" s="244"/>
      <c r="S135" s="244"/>
      <c r="T135" s="244"/>
      <c r="U135" s="244"/>
    </row>
    <row r="136" spans="2:21" ht="12.5">
      <c r="B136" s="145" t="str">
        <f t="shared" si="27"/>
        <v/>
      </c>
      <c r="C136" s="496">
        <f>IF(D94="","-",+C135+1)</f>
        <v>2050</v>
      </c>
      <c r="D136" s="350">
        <f>IF(F135+SUM(E$100:E135)=D$93,F135,D$93-SUM(E$100:E135))</f>
        <v>0</v>
      </c>
      <c r="E136" s="629">
        <f t="shared" si="40"/>
        <v>0</v>
      </c>
      <c r="F136" s="511">
        <f t="shared" si="41"/>
        <v>0</v>
      </c>
      <c r="G136" s="511">
        <f t="shared" si="42"/>
        <v>0</v>
      </c>
      <c r="H136" s="645">
        <f t="shared" si="43"/>
        <v>0</v>
      </c>
      <c r="I136" s="630">
        <f t="shared" si="44"/>
        <v>0</v>
      </c>
      <c r="J136" s="505">
        <f t="shared" si="31"/>
        <v>0</v>
      </c>
      <c r="K136" s="505"/>
      <c r="L136" s="513"/>
      <c r="M136" s="505">
        <f t="shared" si="45"/>
        <v>0</v>
      </c>
      <c r="N136" s="513"/>
      <c r="O136" s="505">
        <f t="shared" si="46"/>
        <v>0</v>
      </c>
      <c r="P136" s="505">
        <f t="shared" si="47"/>
        <v>0</v>
      </c>
      <c r="Q136" s="244"/>
      <c r="R136" s="244"/>
      <c r="S136" s="244"/>
      <c r="T136" s="244"/>
      <c r="U136" s="244"/>
    </row>
    <row r="137" spans="2:21" ht="12.5">
      <c r="B137" s="145" t="str">
        <f t="shared" si="27"/>
        <v/>
      </c>
      <c r="C137" s="496">
        <f>IF(D94="","-",+C136+1)</f>
        <v>2051</v>
      </c>
      <c r="D137" s="350">
        <f>IF(F136+SUM(E$100:E136)=D$93,F136,D$93-SUM(E$100:E136))</f>
        <v>0</v>
      </c>
      <c r="E137" s="629">
        <f t="shared" si="40"/>
        <v>0</v>
      </c>
      <c r="F137" s="511">
        <f t="shared" si="41"/>
        <v>0</v>
      </c>
      <c r="G137" s="511">
        <f t="shared" si="42"/>
        <v>0</v>
      </c>
      <c r="H137" s="645">
        <f t="shared" si="43"/>
        <v>0</v>
      </c>
      <c r="I137" s="630">
        <f t="shared" si="44"/>
        <v>0</v>
      </c>
      <c r="J137" s="505">
        <f t="shared" si="31"/>
        <v>0</v>
      </c>
      <c r="K137" s="505"/>
      <c r="L137" s="513"/>
      <c r="M137" s="505">
        <f t="shared" si="45"/>
        <v>0</v>
      </c>
      <c r="N137" s="513"/>
      <c r="O137" s="505">
        <f t="shared" si="46"/>
        <v>0</v>
      </c>
      <c r="P137" s="505">
        <f t="shared" si="47"/>
        <v>0</v>
      </c>
      <c r="Q137" s="244"/>
      <c r="R137" s="244"/>
      <c r="S137" s="244"/>
      <c r="T137" s="244"/>
      <c r="U137" s="244"/>
    </row>
    <row r="138" spans="2:21" ht="12.5">
      <c r="B138" s="145" t="str">
        <f t="shared" si="27"/>
        <v/>
      </c>
      <c r="C138" s="496">
        <f>IF(D94="","-",+C137+1)</f>
        <v>2052</v>
      </c>
      <c r="D138" s="350">
        <f>IF(F137+SUM(E$100:E137)=D$93,F137,D$93-SUM(E$100:E137))</f>
        <v>0</v>
      </c>
      <c r="E138" s="629">
        <f t="shared" si="40"/>
        <v>0</v>
      </c>
      <c r="F138" s="511">
        <f t="shared" si="41"/>
        <v>0</v>
      </c>
      <c r="G138" s="511">
        <f t="shared" si="42"/>
        <v>0</v>
      </c>
      <c r="H138" s="645">
        <f t="shared" si="43"/>
        <v>0</v>
      </c>
      <c r="I138" s="630">
        <f t="shared" si="44"/>
        <v>0</v>
      </c>
      <c r="J138" s="505">
        <f t="shared" si="31"/>
        <v>0</v>
      </c>
      <c r="K138" s="505"/>
      <c r="L138" s="513"/>
      <c r="M138" s="505">
        <f t="shared" si="45"/>
        <v>0</v>
      </c>
      <c r="N138" s="513"/>
      <c r="O138" s="505">
        <f t="shared" si="46"/>
        <v>0</v>
      </c>
      <c r="P138" s="505">
        <f t="shared" si="47"/>
        <v>0</v>
      </c>
      <c r="Q138" s="244"/>
      <c r="R138" s="244"/>
      <c r="S138" s="244"/>
      <c r="T138" s="244"/>
      <c r="U138" s="244"/>
    </row>
    <row r="139" spans="2:21" ht="12.5">
      <c r="B139" s="145" t="str">
        <f t="shared" si="27"/>
        <v/>
      </c>
      <c r="C139" s="496">
        <f>IF(D94="","-",+C138+1)</f>
        <v>2053</v>
      </c>
      <c r="D139" s="350">
        <f>IF(F138+SUM(E$100:E138)=D$93,F138,D$93-SUM(E$100:E138))</f>
        <v>0</v>
      </c>
      <c r="E139" s="629">
        <f t="shared" si="40"/>
        <v>0</v>
      </c>
      <c r="F139" s="511">
        <f t="shared" si="41"/>
        <v>0</v>
      </c>
      <c r="G139" s="511">
        <f t="shared" si="42"/>
        <v>0</v>
      </c>
      <c r="H139" s="645">
        <f t="shared" si="43"/>
        <v>0</v>
      </c>
      <c r="I139" s="630">
        <f t="shared" si="44"/>
        <v>0</v>
      </c>
      <c r="J139" s="505">
        <f t="shared" si="31"/>
        <v>0</v>
      </c>
      <c r="K139" s="505"/>
      <c r="L139" s="513"/>
      <c r="M139" s="505">
        <f t="shared" si="45"/>
        <v>0</v>
      </c>
      <c r="N139" s="513"/>
      <c r="O139" s="505">
        <f t="shared" si="46"/>
        <v>0</v>
      </c>
      <c r="P139" s="505">
        <f t="shared" si="47"/>
        <v>0</v>
      </c>
      <c r="Q139" s="244"/>
      <c r="R139" s="244"/>
      <c r="S139" s="244"/>
      <c r="T139" s="244"/>
      <c r="U139" s="244"/>
    </row>
    <row r="140" spans="2:21" ht="12.5">
      <c r="B140" s="145" t="str">
        <f t="shared" si="27"/>
        <v/>
      </c>
      <c r="C140" s="496">
        <f>IF(D94="","-",+C139+1)</f>
        <v>2054</v>
      </c>
      <c r="D140" s="350">
        <f>IF(F139+SUM(E$100:E139)=D$93,F139,D$93-SUM(E$100:E139))</f>
        <v>0</v>
      </c>
      <c r="E140" s="629">
        <f t="shared" si="40"/>
        <v>0</v>
      </c>
      <c r="F140" s="511">
        <f t="shared" si="41"/>
        <v>0</v>
      </c>
      <c r="G140" s="511">
        <f t="shared" si="42"/>
        <v>0</v>
      </c>
      <c r="H140" s="645">
        <f t="shared" si="43"/>
        <v>0</v>
      </c>
      <c r="I140" s="630">
        <f t="shared" si="44"/>
        <v>0</v>
      </c>
      <c r="J140" s="505">
        <f t="shared" si="31"/>
        <v>0</v>
      </c>
      <c r="K140" s="505"/>
      <c r="L140" s="513"/>
      <c r="M140" s="505">
        <f t="shared" si="45"/>
        <v>0</v>
      </c>
      <c r="N140" s="513"/>
      <c r="O140" s="505">
        <f t="shared" si="46"/>
        <v>0</v>
      </c>
      <c r="P140" s="505">
        <f t="shared" si="47"/>
        <v>0</v>
      </c>
      <c r="Q140" s="244"/>
      <c r="R140" s="244"/>
      <c r="S140" s="244"/>
      <c r="T140" s="244"/>
      <c r="U140" s="244"/>
    </row>
    <row r="141" spans="2:21" ht="12.5">
      <c r="B141" s="145" t="str">
        <f t="shared" si="27"/>
        <v/>
      </c>
      <c r="C141" s="496">
        <f>IF(D94="","-",+C140+1)</f>
        <v>2055</v>
      </c>
      <c r="D141" s="350">
        <f>IF(F140+SUM(E$100:E140)=D$93,F140,D$93-SUM(E$100:E140))</f>
        <v>0</v>
      </c>
      <c r="E141" s="629">
        <f t="shared" si="40"/>
        <v>0</v>
      </c>
      <c r="F141" s="511">
        <f t="shared" si="41"/>
        <v>0</v>
      </c>
      <c r="G141" s="511">
        <f t="shared" si="42"/>
        <v>0</v>
      </c>
      <c r="H141" s="645">
        <f t="shared" si="43"/>
        <v>0</v>
      </c>
      <c r="I141" s="630">
        <f t="shared" si="44"/>
        <v>0</v>
      </c>
      <c r="J141" s="505">
        <f t="shared" si="31"/>
        <v>0</v>
      </c>
      <c r="K141" s="505"/>
      <c r="L141" s="513"/>
      <c r="M141" s="505">
        <f t="shared" si="45"/>
        <v>0</v>
      </c>
      <c r="N141" s="513"/>
      <c r="O141" s="505">
        <f t="shared" si="46"/>
        <v>0</v>
      </c>
      <c r="P141" s="505">
        <f t="shared" si="47"/>
        <v>0</v>
      </c>
      <c r="Q141" s="244"/>
      <c r="R141" s="244"/>
      <c r="S141" s="244"/>
      <c r="T141" s="244"/>
      <c r="U141" s="244"/>
    </row>
    <row r="142" spans="2:21" ht="12.5">
      <c r="B142" s="145" t="str">
        <f t="shared" si="27"/>
        <v/>
      </c>
      <c r="C142" s="496">
        <f>IF(D94="","-",+C141+1)</f>
        <v>2056</v>
      </c>
      <c r="D142" s="350">
        <f>IF(F141+SUM(E$100:E141)=D$93,F141,D$93-SUM(E$100:E141))</f>
        <v>0</v>
      </c>
      <c r="E142" s="629">
        <f t="shared" si="40"/>
        <v>0</v>
      </c>
      <c r="F142" s="511">
        <f t="shared" si="41"/>
        <v>0</v>
      </c>
      <c r="G142" s="511">
        <f t="shared" si="42"/>
        <v>0</v>
      </c>
      <c r="H142" s="645">
        <f t="shared" si="43"/>
        <v>0</v>
      </c>
      <c r="I142" s="630">
        <f t="shared" si="44"/>
        <v>0</v>
      </c>
      <c r="J142" s="505">
        <f t="shared" si="31"/>
        <v>0</v>
      </c>
      <c r="K142" s="505"/>
      <c r="L142" s="513"/>
      <c r="M142" s="505">
        <f t="shared" si="45"/>
        <v>0</v>
      </c>
      <c r="N142" s="513"/>
      <c r="O142" s="505">
        <f t="shared" si="46"/>
        <v>0</v>
      </c>
      <c r="P142" s="505">
        <f t="shared" si="47"/>
        <v>0</v>
      </c>
      <c r="Q142" s="244"/>
      <c r="R142" s="244"/>
      <c r="S142" s="244"/>
      <c r="T142" s="244"/>
      <c r="U142" s="244"/>
    </row>
    <row r="143" spans="2:21" ht="12.5">
      <c r="B143" s="145" t="str">
        <f t="shared" si="27"/>
        <v/>
      </c>
      <c r="C143" s="496">
        <f>IF(D94="","-",+C142+1)</f>
        <v>2057</v>
      </c>
      <c r="D143" s="350">
        <f>IF(F142+SUM(E$100:E142)=D$93,F142,D$93-SUM(E$100:E142))</f>
        <v>0</v>
      </c>
      <c r="E143" s="629">
        <f t="shared" si="40"/>
        <v>0</v>
      </c>
      <c r="F143" s="511">
        <f t="shared" si="41"/>
        <v>0</v>
      </c>
      <c r="G143" s="511">
        <f t="shared" si="42"/>
        <v>0</v>
      </c>
      <c r="H143" s="645">
        <f t="shared" si="43"/>
        <v>0</v>
      </c>
      <c r="I143" s="630">
        <f t="shared" si="44"/>
        <v>0</v>
      </c>
      <c r="J143" s="505">
        <f t="shared" si="31"/>
        <v>0</v>
      </c>
      <c r="K143" s="505"/>
      <c r="L143" s="513"/>
      <c r="M143" s="505">
        <f t="shared" si="45"/>
        <v>0</v>
      </c>
      <c r="N143" s="513"/>
      <c r="O143" s="505">
        <f t="shared" si="46"/>
        <v>0</v>
      </c>
      <c r="P143" s="505">
        <f t="shared" si="47"/>
        <v>0</v>
      </c>
      <c r="Q143" s="244"/>
      <c r="R143" s="244"/>
      <c r="S143" s="244"/>
      <c r="T143" s="244"/>
      <c r="U143" s="244"/>
    </row>
    <row r="144" spans="2:21" ht="12.5">
      <c r="B144" s="145" t="str">
        <f t="shared" si="27"/>
        <v/>
      </c>
      <c r="C144" s="496">
        <f>IF(D94="","-",+C143+1)</f>
        <v>2058</v>
      </c>
      <c r="D144" s="350">
        <f>IF(F143+SUM(E$100:E143)=D$93,F143,D$93-SUM(E$100:E143))</f>
        <v>0</v>
      </c>
      <c r="E144" s="629">
        <f t="shared" si="40"/>
        <v>0</v>
      </c>
      <c r="F144" s="511">
        <f t="shared" si="41"/>
        <v>0</v>
      </c>
      <c r="G144" s="511">
        <f t="shared" si="42"/>
        <v>0</v>
      </c>
      <c r="H144" s="645">
        <f t="shared" si="43"/>
        <v>0</v>
      </c>
      <c r="I144" s="630">
        <f t="shared" si="44"/>
        <v>0</v>
      </c>
      <c r="J144" s="505">
        <f t="shared" si="31"/>
        <v>0</v>
      </c>
      <c r="K144" s="505"/>
      <c r="L144" s="513"/>
      <c r="M144" s="505">
        <f t="shared" si="45"/>
        <v>0</v>
      </c>
      <c r="N144" s="513"/>
      <c r="O144" s="505">
        <f t="shared" si="46"/>
        <v>0</v>
      </c>
      <c r="P144" s="505">
        <f t="shared" si="47"/>
        <v>0</v>
      </c>
      <c r="Q144" s="244"/>
      <c r="R144" s="244"/>
      <c r="S144" s="244"/>
      <c r="T144" s="244"/>
      <c r="U144" s="244"/>
    </row>
    <row r="145" spans="2:21" ht="12.5">
      <c r="B145" s="145" t="str">
        <f t="shared" si="27"/>
        <v/>
      </c>
      <c r="C145" s="496">
        <f>IF(D94="","-",+C144+1)</f>
        <v>2059</v>
      </c>
      <c r="D145" s="350">
        <f>IF(F144+SUM(E$100:E144)=D$93,F144,D$93-SUM(E$100:E144))</f>
        <v>0</v>
      </c>
      <c r="E145" s="629">
        <f t="shared" si="40"/>
        <v>0</v>
      </c>
      <c r="F145" s="511">
        <f t="shared" si="41"/>
        <v>0</v>
      </c>
      <c r="G145" s="511">
        <f t="shared" si="42"/>
        <v>0</v>
      </c>
      <c r="H145" s="645">
        <f t="shared" si="43"/>
        <v>0</v>
      </c>
      <c r="I145" s="630">
        <f t="shared" si="44"/>
        <v>0</v>
      </c>
      <c r="J145" s="505">
        <f t="shared" si="31"/>
        <v>0</v>
      </c>
      <c r="K145" s="505"/>
      <c r="L145" s="513"/>
      <c r="M145" s="505">
        <f t="shared" si="45"/>
        <v>0</v>
      </c>
      <c r="N145" s="513"/>
      <c r="O145" s="505">
        <f t="shared" si="46"/>
        <v>0</v>
      </c>
      <c r="P145" s="505">
        <f t="shared" si="47"/>
        <v>0</v>
      </c>
      <c r="Q145" s="244"/>
      <c r="R145" s="244"/>
      <c r="S145" s="244"/>
      <c r="T145" s="244"/>
      <c r="U145" s="244"/>
    </row>
    <row r="146" spans="2:21" ht="12.5">
      <c r="B146" s="145" t="str">
        <f t="shared" si="27"/>
        <v/>
      </c>
      <c r="C146" s="496">
        <f>IF(D94="","-",+C145+1)</f>
        <v>2060</v>
      </c>
      <c r="D146" s="350">
        <f>IF(F145+SUM(E$100:E145)=D$93,F145,D$93-SUM(E$100:E145))</f>
        <v>0</v>
      </c>
      <c r="E146" s="629">
        <f t="shared" si="40"/>
        <v>0</v>
      </c>
      <c r="F146" s="511">
        <f t="shared" si="41"/>
        <v>0</v>
      </c>
      <c r="G146" s="511">
        <f t="shared" si="42"/>
        <v>0</v>
      </c>
      <c r="H146" s="645">
        <f t="shared" si="43"/>
        <v>0</v>
      </c>
      <c r="I146" s="630">
        <f t="shared" si="44"/>
        <v>0</v>
      </c>
      <c r="J146" s="505">
        <f t="shared" si="31"/>
        <v>0</v>
      </c>
      <c r="K146" s="505"/>
      <c r="L146" s="513"/>
      <c r="M146" s="505">
        <f t="shared" si="45"/>
        <v>0</v>
      </c>
      <c r="N146" s="513"/>
      <c r="O146" s="505">
        <f t="shared" si="46"/>
        <v>0</v>
      </c>
      <c r="P146" s="505">
        <f t="shared" si="47"/>
        <v>0</v>
      </c>
      <c r="Q146" s="244"/>
      <c r="R146" s="244"/>
      <c r="S146" s="244"/>
      <c r="T146" s="244"/>
      <c r="U146" s="244"/>
    </row>
    <row r="147" spans="2:21" ht="12.5">
      <c r="B147" s="145" t="str">
        <f t="shared" si="27"/>
        <v/>
      </c>
      <c r="C147" s="496">
        <f>IF(D94="","-",+C146+1)</f>
        <v>2061</v>
      </c>
      <c r="D147" s="350">
        <f>IF(F146+SUM(E$100:E146)=D$93,F146,D$93-SUM(E$100:E146))</f>
        <v>0</v>
      </c>
      <c r="E147" s="629">
        <f t="shared" si="40"/>
        <v>0</v>
      </c>
      <c r="F147" s="511">
        <f t="shared" si="41"/>
        <v>0</v>
      </c>
      <c r="G147" s="511">
        <f t="shared" si="42"/>
        <v>0</v>
      </c>
      <c r="H147" s="645">
        <f t="shared" si="43"/>
        <v>0</v>
      </c>
      <c r="I147" s="630">
        <f t="shared" si="44"/>
        <v>0</v>
      </c>
      <c r="J147" s="505">
        <f t="shared" si="31"/>
        <v>0</v>
      </c>
      <c r="K147" s="505"/>
      <c r="L147" s="513"/>
      <c r="M147" s="505">
        <f t="shared" si="45"/>
        <v>0</v>
      </c>
      <c r="N147" s="513"/>
      <c r="O147" s="505">
        <f t="shared" si="46"/>
        <v>0</v>
      </c>
      <c r="P147" s="505">
        <f t="shared" si="47"/>
        <v>0</v>
      </c>
      <c r="Q147" s="244"/>
      <c r="R147" s="244"/>
      <c r="S147" s="244"/>
      <c r="T147" s="244"/>
      <c r="U147" s="244"/>
    </row>
    <row r="148" spans="2:21" ht="12.5">
      <c r="B148" s="145" t="str">
        <f t="shared" si="27"/>
        <v/>
      </c>
      <c r="C148" s="496">
        <f>IF(D94="","-",+C147+1)</f>
        <v>2062</v>
      </c>
      <c r="D148" s="350">
        <f>IF(F147+SUM(E$100:E147)=D$93,F147,D$93-SUM(E$100:E147))</f>
        <v>0</v>
      </c>
      <c r="E148" s="629">
        <f t="shared" si="40"/>
        <v>0</v>
      </c>
      <c r="F148" s="511">
        <f t="shared" si="41"/>
        <v>0</v>
      </c>
      <c r="G148" s="511">
        <f t="shared" si="42"/>
        <v>0</v>
      </c>
      <c r="H148" s="645">
        <f t="shared" si="43"/>
        <v>0</v>
      </c>
      <c r="I148" s="630">
        <f t="shared" si="44"/>
        <v>0</v>
      </c>
      <c r="J148" s="505">
        <f t="shared" si="31"/>
        <v>0</v>
      </c>
      <c r="K148" s="505"/>
      <c r="L148" s="513"/>
      <c r="M148" s="505">
        <f t="shared" si="45"/>
        <v>0</v>
      </c>
      <c r="N148" s="513"/>
      <c r="O148" s="505">
        <f t="shared" si="46"/>
        <v>0</v>
      </c>
      <c r="P148" s="505">
        <f t="shared" si="47"/>
        <v>0</v>
      </c>
      <c r="Q148" s="244"/>
      <c r="R148" s="244"/>
      <c r="S148" s="244"/>
      <c r="T148" s="244"/>
      <c r="U148" s="244"/>
    </row>
    <row r="149" spans="2:21" ht="12.5">
      <c r="B149" s="145" t="str">
        <f t="shared" si="27"/>
        <v/>
      </c>
      <c r="C149" s="496">
        <f>IF(D94="","-",+C148+1)</f>
        <v>2063</v>
      </c>
      <c r="D149" s="350">
        <f>IF(F148+SUM(E$100:E148)=D$93,F148,D$93-SUM(E$100:E148))</f>
        <v>0</v>
      </c>
      <c r="E149" s="629">
        <f t="shared" si="40"/>
        <v>0</v>
      </c>
      <c r="F149" s="511">
        <f t="shared" si="41"/>
        <v>0</v>
      </c>
      <c r="G149" s="511">
        <f t="shared" si="42"/>
        <v>0</v>
      </c>
      <c r="H149" s="645">
        <f t="shared" si="43"/>
        <v>0</v>
      </c>
      <c r="I149" s="630">
        <f t="shared" si="44"/>
        <v>0</v>
      </c>
      <c r="J149" s="505">
        <f t="shared" si="31"/>
        <v>0</v>
      </c>
      <c r="K149" s="505"/>
      <c r="L149" s="513"/>
      <c r="M149" s="505">
        <f t="shared" si="45"/>
        <v>0</v>
      </c>
      <c r="N149" s="513"/>
      <c r="O149" s="505">
        <f t="shared" si="46"/>
        <v>0</v>
      </c>
      <c r="P149" s="505">
        <f t="shared" si="47"/>
        <v>0</v>
      </c>
      <c r="Q149" s="244"/>
      <c r="R149" s="244"/>
      <c r="S149" s="244"/>
      <c r="T149" s="244"/>
      <c r="U149" s="244"/>
    </row>
    <row r="150" spans="2:21" ht="12.5">
      <c r="B150" s="145" t="str">
        <f t="shared" si="27"/>
        <v/>
      </c>
      <c r="C150" s="496">
        <f>IF(D94="","-",+C149+1)</f>
        <v>2064</v>
      </c>
      <c r="D150" s="350">
        <f>IF(F149+SUM(E$100:E149)=D$93,F149,D$93-SUM(E$100:E149))</f>
        <v>0</v>
      </c>
      <c r="E150" s="629">
        <f t="shared" si="40"/>
        <v>0</v>
      </c>
      <c r="F150" s="511">
        <f t="shared" si="41"/>
        <v>0</v>
      </c>
      <c r="G150" s="511">
        <f t="shared" si="42"/>
        <v>0</v>
      </c>
      <c r="H150" s="645">
        <f t="shared" si="43"/>
        <v>0</v>
      </c>
      <c r="I150" s="630">
        <f t="shared" si="44"/>
        <v>0</v>
      </c>
      <c r="J150" s="505">
        <f t="shared" si="31"/>
        <v>0</v>
      </c>
      <c r="K150" s="505"/>
      <c r="L150" s="513"/>
      <c r="M150" s="505">
        <f t="shared" si="45"/>
        <v>0</v>
      </c>
      <c r="N150" s="513"/>
      <c r="O150" s="505">
        <f t="shared" si="46"/>
        <v>0</v>
      </c>
      <c r="P150" s="505">
        <f t="shared" si="47"/>
        <v>0</v>
      </c>
      <c r="Q150" s="244"/>
      <c r="R150" s="244"/>
      <c r="S150" s="244"/>
      <c r="T150" s="244"/>
      <c r="U150" s="244"/>
    </row>
    <row r="151" spans="2:21" ht="12.5">
      <c r="B151" s="145" t="str">
        <f t="shared" si="27"/>
        <v/>
      </c>
      <c r="C151" s="496">
        <f>IF(D94="","-",+C150+1)</f>
        <v>2065</v>
      </c>
      <c r="D151" s="350">
        <f>IF(F150+SUM(E$100:E150)=D$93,F150,D$93-SUM(E$100:E150))</f>
        <v>0</v>
      </c>
      <c r="E151" s="629">
        <f t="shared" si="40"/>
        <v>0</v>
      </c>
      <c r="F151" s="511">
        <f t="shared" si="41"/>
        <v>0</v>
      </c>
      <c r="G151" s="511">
        <f t="shared" si="42"/>
        <v>0</v>
      </c>
      <c r="H151" s="645">
        <f t="shared" si="43"/>
        <v>0</v>
      </c>
      <c r="I151" s="630">
        <f t="shared" si="44"/>
        <v>0</v>
      </c>
      <c r="J151" s="505">
        <f t="shared" si="31"/>
        <v>0</v>
      </c>
      <c r="K151" s="505"/>
      <c r="L151" s="513"/>
      <c r="M151" s="505">
        <f t="shared" si="45"/>
        <v>0</v>
      </c>
      <c r="N151" s="513"/>
      <c r="O151" s="505">
        <f t="shared" si="46"/>
        <v>0</v>
      </c>
      <c r="P151" s="505">
        <f t="shared" si="47"/>
        <v>0</v>
      </c>
      <c r="Q151" s="244"/>
      <c r="R151" s="244"/>
      <c r="S151" s="244"/>
      <c r="T151" s="244"/>
      <c r="U151" s="244"/>
    </row>
    <row r="152" spans="2:21" ht="12.5">
      <c r="B152" s="145" t="str">
        <f t="shared" si="27"/>
        <v/>
      </c>
      <c r="C152" s="496">
        <f>IF(D94="","-",+C151+1)</f>
        <v>2066</v>
      </c>
      <c r="D152" s="350">
        <f>IF(F151+SUM(E$100:E151)=D$93,F151,D$93-SUM(E$100:E151))</f>
        <v>0</v>
      </c>
      <c r="E152" s="629">
        <f t="shared" si="40"/>
        <v>0</v>
      </c>
      <c r="F152" s="511">
        <f t="shared" si="41"/>
        <v>0</v>
      </c>
      <c r="G152" s="511">
        <f t="shared" si="42"/>
        <v>0</v>
      </c>
      <c r="H152" s="645">
        <f t="shared" si="43"/>
        <v>0</v>
      </c>
      <c r="I152" s="630">
        <f t="shared" si="44"/>
        <v>0</v>
      </c>
      <c r="J152" s="505">
        <f t="shared" si="31"/>
        <v>0</v>
      </c>
      <c r="K152" s="505"/>
      <c r="L152" s="513"/>
      <c r="M152" s="505">
        <f t="shared" si="45"/>
        <v>0</v>
      </c>
      <c r="N152" s="513"/>
      <c r="O152" s="505">
        <f t="shared" si="46"/>
        <v>0</v>
      </c>
      <c r="P152" s="505">
        <f t="shared" si="47"/>
        <v>0</v>
      </c>
      <c r="Q152" s="244"/>
      <c r="R152" s="244"/>
      <c r="S152" s="244"/>
      <c r="T152" s="244"/>
      <c r="U152" s="244"/>
    </row>
    <row r="153" spans="2:21" ht="12.5">
      <c r="B153" s="145" t="str">
        <f t="shared" si="27"/>
        <v/>
      </c>
      <c r="C153" s="496">
        <f>IF(D94="","-",+C152+1)</f>
        <v>2067</v>
      </c>
      <c r="D153" s="350">
        <f>IF(F152+SUM(E$100:E152)=D$93,F152,D$93-SUM(E$100:E152))</f>
        <v>0</v>
      </c>
      <c r="E153" s="629">
        <f t="shared" si="40"/>
        <v>0</v>
      </c>
      <c r="F153" s="511">
        <f t="shared" si="41"/>
        <v>0</v>
      </c>
      <c r="G153" s="511">
        <f t="shared" si="42"/>
        <v>0</v>
      </c>
      <c r="H153" s="645">
        <f t="shared" si="43"/>
        <v>0</v>
      </c>
      <c r="I153" s="630">
        <f t="shared" si="44"/>
        <v>0</v>
      </c>
      <c r="J153" s="505">
        <f t="shared" si="31"/>
        <v>0</v>
      </c>
      <c r="K153" s="505"/>
      <c r="L153" s="513"/>
      <c r="M153" s="505">
        <f t="shared" si="45"/>
        <v>0</v>
      </c>
      <c r="N153" s="513"/>
      <c r="O153" s="505">
        <f t="shared" si="46"/>
        <v>0</v>
      </c>
      <c r="P153" s="505">
        <f t="shared" si="47"/>
        <v>0</v>
      </c>
      <c r="Q153" s="244"/>
      <c r="R153" s="244"/>
      <c r="S153" s="244"/>
      <c r="T153" s="244"/>
      <c r="U153" s="244"/>
    </row>
    <row r="154" spans="2:21" ht="12.5">
      <c r="B154" s="145" t="str">
        <f t="shared" si="27"/>
        <v/>
      </c>
      <c r="C154" s="496">
        <f>IF(D94="","-",+C153+1)</f>
        <v>2068</v>
      </c>
      <c r="D154" s="350">
        <f>IF(F153+SUM(E$100:E153)=D$93,F153,D$93-SUM(E$100:E153))</f>
        <v>0</v>
      </c>
      <c r="E154" s="629">
        <f t="shared" si="40"/>
        <v>0</v>
      </c>
      <c r="F154" s="511">
        <f t="shared" si="41"/>
        <v>0</v>
      </c>
      <c r="G154" s="511">
        <f t="shared" si="42"/>
        <v>0</v>
      </c>
      <c r="H154" s="645">
        <f t="shared" si="43"/>
        <v>0</v>
      </c>
      <c r="I154" s="630">
        <f t="shared" si="44"/>
        <v>0</v>
      </c>
      <c r="J154" s="505">
        <f t="shared" si="31"/>
        <v>0</v>
      </c>
      <c r="K154" s="505"/>
      <c r="L154" s="513"/>
      <c r="M154" s="505">
        <f t="shared" si="45"/>
        <v>0</v>
      </c>
      <c r="N154" s="513"/>
      <c r="O154" s="505">
        <f t="shared" si="46"/>
        <v>0</v>
      </c>
      <c r="P154" s="505">
        <f t="shared" si="47"/>
        <v>0</v>
      </c>
      <c r="Q154" s="244"/>
      <c r="R154" s="244"/>
      <c r="S154" s="244"/>
      <c r="T154" s="244"/>
      <c r="U154" s="244"/>
    </row>
    <row r="155" spans="2:21" ht="13" thickBot="1">
      <c r="B155" s="145" t="str">
        <f t="shared" si="27"/>
        <v/>
      </c>
      <c r="C155" s="525">
        <f>IF(D94="","-",+C154+1)</f>
        <v>2069</v>
      </c>
      <c r="D155" s="619">
        <f>IF(F154+SUM(E$100:E154)=D$93,F154,D$93-SUM(E$100:E154))</f>
        <v>0</v>
      </c>
      <c r="E155" s="631">
        <f t="shared" si="40"/>
        <v>0</v>
      </c>
      <c r="F155" s="528">
        <f t="shared" si="41"/>
        <v>0</v>
      </c>
      <c r="G155" s="528">
        <f t="shared" si="42"/>
        <v>0</v>
      </c>
      <c r="H155" s="645">
        <f t="shared" si="43"/>
        <v>0</v>
      </c>
      <c r="I155" s="632">
        <f t="shared" si="44"/>
        <v>0</v>
      </c>
      <c r="J155" s="532">
        <f t="shared" si="31"/>
        <v>0</v>
      </c>
      <c r="K155" s="505"/>
      <c r="L155" s="531"/>
      <c r="M155" s="532">
        <f t="shared" si="45"/>
        <v>0</v>
      </c>
      <c r="N155" s="531"/>
      <c r="O155" s="532">
        <f t="shared" si="46"/>
        <v>0</v>
      </c>
      <c r="P155" s="532">
        <f t="shared" si="47"/>
        <v>0</v>
      </c>
      <c r="Q155" s="244"/>
      <c r="R155" s="244"/>
      <c r="S155" s="244"/>
      <c r="T155" s="244"/>
      <c r="U155" s="244"/>
    </row>
    <row r="156" spans="2:21" ht="12.5">
      <c r="C156" s="350" t="s">
        <v>75</v>
      </c>
      <c r="D156" s="295"/>
      <c r="E156" s="295">
        <f>SUM(E100:E155)</f>
        <v>20242585.050000004</v>
      </c>
      <c r="F156" s="295"/>
      <c r="G156" s="295"/>
      <c r="H156" s="295">
        <f>SUM(H100:H155)</f>
        <v>48287466.056229204</v>
      </c>
      <c r="I156" s="295">
        <f>SUM(I100:I155)</f>
        <v>48287466.056229204</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9" priority="1" stopIfTrue="1" operator="equal">
      <formula>$I$10</formula>
    </cfRule>
  </conditionalFormatting>
  <conditionalFormatting sqref="C100:C155">
    <cfRule type="cellIs" dxfId="38"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4">
    <tabColor theme="9" tint="0.39997558519241921"/>
  </sheetPr>
  <dimension ref="A1:U163"/>
  <sheetViews>
    <sheetView topLeftCell="A66" zoomScaleNormal="100" zoomScaleSheetLayoutView="78"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12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1602683.1037737736</v>
      </c>
      <c r="P5" s="244"/>
      <c r="R5" s="244"/>
      <c r="S5" s="244"/>
      <c r="T5" s="244"/>
      <c r="U5" s="244"/>
    </row>
    <row r="6" spans="1:21" ht="15.5">
      <c r="C6" s="236"/>
      <c r="D6" s="293"/>
      <c r="E6" s="244"/>
      <c r="F6" s="244"/>
      <c r="G6" s="244"/>
      <c r="H6" s="450"/>
      <c r="I6" s="450"/>
      <c r="J6" s="451"/>
      <c r="K6" s="452" t="s">
        <v>243</v>
      </c>
      <c r="L6" s="453"/>
      <c r="M6" s="279"/>
      <c r="N6" s="454">
        <f>VLOOKUP(I10,C17:I73,6)</f>
        <v>1602683.1037737736</v>
      </c>
      <c r="O6" s="244"/>
      <c r="P6" s="244"/>
      <c r="R6" s="244"/>
      <c r="S6" s="244"/>
      <c r="T6" s="244"/>
      <c r="U6" s="244"/>
    </row>
    <row r="7" spans="1:21" ht="13.5" thickBot="1">
      <c r="C7" s="455" t="s">
        <v>46</v>
      </c>
      <c r="D7" s="456" t="s">
        <v>224</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223</v>
      </c>
      <c r="E9" s="466"/>
      <c r="F9" s="466"/>
      <c r="G9" s="466"/>
      <c r="H9" s="466"/>
      <c r="I9" s="467"/>
      <c r="J9" s="468"/>
      <c r="O9" s="469"/>
      <c r="P9" s="279"/>
      <c r="R9" s="244"/>
      <c r="S9" s="244"/>
      <c r="T9" s="244"/>
      <c r="U9" s="244"/>
    </row>
    <row r="10" spans="1:21" ht="13">
      <c r="C10" s="470" t="s">
        <v>49</v>
      </c>
      <c r="D10" s="471">
        <v>13254470</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2014</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4</v>
      </c>
      <c r="E12" s="473" t="s">
        <v>55</v>
      </c>
      <c r="F12" s="409"/>
      <c r="G12" s="221"/>
      <c r="H12" s="221"/>
      <c r="I12" s="477">
        <f>'OKT.WS.F.BPU.ATRR.Projected'!$F$78</f>
        <v>0.11475877389767174</v>
      </c>
      <c r="J12" s="414"/>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401650.60606060608</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2014</v>
      </c>
      <c r="D17" s="613">
        <v>13254470.189999999</v>
      </c>
      <c r="E17" s="621">
        <v>38215.310782576453</v>
      </c>
      <c r="F17" s="613">
        <v>13216254.879217423</v>
      </c>
      <c r="G17" s="621">
        <v>401752.61137886974</v>
      </c>
      <c r="H17" s="618">
        <v>401752.61137886974</v>
      </c>
      <c r="I17" s="633">
        <v>0</v>
      </c>
      <c r="J17" s="501"/>
      <c r="K17" s="502">
        <f t="shared" ref="K17:K22" si="1">G17</f>
        <v>401752.61137886974</v>
      </c>
      <c r="L17" s="503">
        <f t="shared" ref="L17:L22" si="2">IF(K17&lt;&gt;0,+G17-K17,0)</f>
        <v>0</v>
      </c>
      <c r="M17" s="502">
        <f t="shared" ref="M17:M22" si="3">H17</f>
        <v>401752.61137886974</v>
      </c>
      <c r="N17" s="504">
        <f>IF(M17&lt;&gt;0,+H17-M17,0)</f>
        <v>0</v>
      </c>
      <c r="O17" s="505">
        <f>+N17-L17</f>
        <v>0</v>
      </c>
      <c r="P17" s="279"/>
      <c r="R17" s="244"/>
      <c r="S17" s="244"/>
      <c r="T17" s="244"/>
      <c r="U17" s="244"/>
    </row>
    <row r="18" spans="2:21" ht="12.5">
      <c r="B18" s="145" t="str">
        <f t="shared" si="0"/>
        <v/>
      </c>
      <c r="C18" s="496">
        <f>IF(D11="","-",+C17+1)</f>
        <v>2015</v>
      </c>
      <c r="D18" s="615">
        <v>13216254.879217423</v>
      </c>
      <c r="E18" s="614">
        <v>229291.86469545873</v>
      </c>
      <c r="F18" s="615">
        <v>12986963.014521964</v>
      </c>
      <c r="G18" s="614">
        <v>1658212.6960173119</v>
      </c>
      <c r="H18" s="618">
        <v>1658212.6960173119</v>
      </c>
      <c r="I18" s="633">
        <v>0</v>
      </c>
      <c r="J18" s="501"/>
      <c r="K18" s="507">
        <f t="shared" si="1"/>
        <v>1658212.6960173119</v>
      </c>
      <c r="L18" s="508">
        <f t="shared" si="2"/>
        <v>0</v>
      </c>
      <c r="M18" s="507">
        <f t="shared" si="3"/>
        <v>1658212.6960173119</v>
      </c>
      <c r="N18" s="505">
        <f>IF(M18&lt;&gt;0,+H18-M18,0)</f>
        <v>0</v>
      </c>
      <c r="O18" s="505">
        <f>+N18-L18</f>
        <v>0</v>
      </c>
      <c r="P18" s="279"/>
      <c r="R18" s="244"/>
      <c r="S18" s="244"/>
      <c r="T18" s="244"/>
      <c r="U18" s="244"/>
    </row>
    <row r="19" spans="2:21" ht="12.5">
      <c r="B19" s="145" t="str">
        <f t="shared" si="0"/>
        <v/>
      </c>
      <c r="C19" s="496">
        <f>IF(D11="","-",+C18+1)</f>
        <v>2016</v>
      </c>
      <c r="D19" s="615">
        <v>12986963.014521964</v>
      </c>
      <c r="E19" s="614">
        <v>229291.86469545873</v>
      </c>
      <c r="F19" s="615">
        <v>12757671.149826504</v>
      </c>
      <c r="G19" s="614">
        <v>1544166.8315919416</v>
      </c>
      <c r="H19" s="618">
        <v>1544166.8315919416</v>
      </c>
      <c r="I19" s="501">
        <v>0</v>
      </c>
      <c r="J19" s="501"/>
      <c r="K19" s="507">
        <f t="shared" si="1"/>
        <v>1544166.8315919416</v>
      </c>
      <c r="L19" s="508">
        <f t="shared" si="2"/>
        <v>0</v>
      </c>
      <c r="M19" s="507">
        <f t="shared" si="3"/>
        <v>1544166.8315919416</v>
      </c>
      <c r="N19" s="505">
        <f>IF(M19&lt;&gt;0,+H19-M19,0)</f>
        <v>0</v>
      </c>
      <c r="O19" s="505">
        <f>+N19-L19</f>
        <v>0</v>
      </c>
      <c r="P19" s="279"/>
      <c r="R19" s="244"/>
      <c r="S19" s="244"/>
      <c r="T19" s="244"/>
      <c r="U19" s="244"/>
    </row>
    <row r="20" spans="2:21" ht="12.5">
      <c r="B20" s="145" t="str">
        <f t="shared" si="0"/>
        <v/>
      </c>
      <c r="C20" s="496">
        <f>IF(D11="","-",+C19+1)</f>
        <v>2017</v>
      </c>
      <c r="D20" s="615">
        <v>12757671.149826504</v>
      </c>
      <c r="E20" s="614">
        <v>275420.65562452108</v>
      </c>
      <c r="F20" s="615">
        <v>12482250.494201982</v>
      </c>
      <c r="G20" s="614">
        <v>1622010.458293594</v>
      </c>
      <c r="H20" s="618">
        <v>1622010.458293594</v>
      </c>
      <c r="I20" s="501">
        <f>H20-G20</f>
        <v>0</v>
      </c>
      <c r="J20" s="501"/>
      <c r="K20" s="507">
        <f t="shared" si="1"/>
        <v>1622010.458293594</v>
      </c>
      <c r="L20" s="508">
        <f t="shared" si="2"/>
        <v>0</v>
      </c>
      <c r="M20" s="507">
        <f t="shared" si="3"/>
        <v>1622010.458293594</v>
      </c>
      <c r="N20" s="505">
        <f t="shared" ref="N20:N73" si="4">IF(M20&lt;&gt;0,+H20-M20,0)</f>
        <v>0</v>
      </c>
      <c r="O20" s="505">
        <f t="shared" ref="O20:O73" si="5">+N20-L20</f>
        <v>0</v>
      </c>
      <c r="P20" s="279"/>
      <c r="R20" s="244"/>
      <c r="S20" s="244"/>
      <c r="T20" s="244"/>
      <c r="U20" s="244"/>
    </row>
    <row r="21" spans="2:21" ht="12.5">
      <c r="B21" s="145" t="str">
        <f t="shared" si="0"/>
        <v>IU</v>
      </c>
      <c r="C21" s="496">
        <f>IF(D11="","-",+C20+1)</f>
        <v>2018</v>
      </c>
      <c r="D21" s="649">
        <v>12221641.369282497</v>
      </c>
      <c r="E21" s="650">
        <v>325060.34019690572</v>
      </c>
      <c r="F21" s="649">
        <v>11896581.029085591</v>
      </c>
      <c r="G21" s="650">
        <v>1741897.6993738853</v>
      </c>
      <c r="H21" s="651">
        <v>1741897.6993738853</v>
      </c>
      <c r="I21" s="501">
        <f t="shared" ref="I21:I73" si="6">H21-G21</f>
        <v>0</v>
      </c>
      <c r="J21" s="501"/>
      <c r="K21" s="507">
        <f t="shared" si="1"/>
        <v>1741897.6993738853</v>
      </c>
      <c r="L21" s="508">
        <f t="shared" si="2"/>
        <v>0</v>
      </c>
      <c r="M21" s="507">
        <f t="shared" si="3"/>
        <v>1741897.6993738853</v>
      </c>
      <c r="N21" s="505">
        <f>IF(M21&lt;&gt;0,+H21-M21,0)</f>
        <v>0</v>
      </c>
      <c r="O21" s="505">
        <f>+N21-L21</f>
        <v>0</v>
      </c>
      <c r="P21" s="279"/>
      <c r="R21" s="244"/>
      <c r="S21" s="244"/>
      <c r="T21" s="244"/>
      <c r="U21" s="244"/>
    </row>
    <row r="22" spans="2:21" ht="12.5">
      <c r="B22" s="145" t="str">
        <f t="shared" si="0"/>
        <v/>
      </c>
      <c r="C22" s="496">
        <f>IF(D11="","-",+C21+1)</f>
        <v>2019</v>
      </c>
      <c r="D22" s="649">
        <v>11896581.029085591</v>
      </c>
      <c r="E22" s="650">
        <v>325060.34019690572</v>
      </c>
      <c r="F22" s="649">
        <v>11571520.688888686</v>
      </c>
      <c r="G22" s="650">
        <v>1703706.0261758706</v>
      </c>
      <c r="H22" s="651">
        <v>1703706.0261758706</v>
      </c>
      <c r="I22" s="501">
        <v>0</v>
      </c>
      <c r="J22" s="501"/>
      <c r="K22" s="507">
        <f t="shared" si="1"/>
        <v>1703706.0261758706</v>
      </c>
      <c r="L22" s="508">
        <f t="shared" si="2"/>
        <v>0</v>
      </c>
      <c r="M22" s="507">
        <f t="shared" si="3"/>
        <v>1703706.0261758706</v>
      </c>
      <c r="N22" s="505">
        <f>IF(M22&lt;&gt;0,+H22-M22,0)</f>
        <v>0</v>
      </c>
      <c r="O22" s="505">
        <f>+N22-L22</f>
        <v>0</v>
      </c>
      <c r="P22" s="279"/>
      <c r="R22" s="244"/>
      <c r="S22" s="244"/>
      <c r="T22" s="244"/>
      <c r="U22" s="244"/>
    </row>
    <row r="23" spans="2:21" ht="12.5">
      <c r="B23" s="145" t="str">
        <f t="shared" si="0"/>
        <v/>
      </c>
      <c r="C23" s="496">
        <f>IF(D11="","-",+C22+1)</f>
        <v>2020</v>
      </c>
      <c r="D23" s="649">
        <v>11571520.688888686</v>
      </c>
      <c r="E23" s="650">
        <v>388114.48634834524</v>
      </c>
      <c r="F23" s="649">
        <v>11183406.20254034</v>
      </c>
      <c r="G23" s="650">
        <v>1581979.7861437595</v>
      </c>
      <c r="H23" s="651">
        <v>1581979.7861437595</v>
      </c>
      <c r="I23" s="501">
        <f t="shared" si="6"/>
        <v>0</v>
      </c>
      <c r="J23" s="501"/>
      <c r="K23" s="507">
        <f t="shared" ref="K23" si="7">G23</f>
        <v>1581979.7861437595</v>
      </c>
      <c r="L23" s="508">
        <f t="shared" ref="L23" si="8">IF(K23&lt;&gt;0,+G23-K23,0)</f>
        <v>0</v>
      </c>
      <c r="M23" s="507">
        <f t="shared" ref="M23" si="9">H23</f>
        <v>1581979.7861437595</v>
      </c>
      <c r="N23" s="505">
        <f>IF(M23&lt;&gt;0,+H23-M23,0)</f>
        <v>0</v>
      </c>
      <c r="O23" s="505">
        <f>+N23-L23</f>
        <v>0</v>
      </c>
      <c r="P23" s="279"/>
      <c r="R23" s="244"/>
      <c r="S23" s="244"/>
      <c r="T23" s="244"/>
      <c r="U23" s="244"/>
    </row>
    <row r="24" spans="2:21" ht="12.5">
      <c r="B24" s="145" t="str">
        <f t="shared" si="0"/>
        <v>IU</v>
      </c>
      <c r="C24" s="496">
        <f>IF(D11="","-",+C23+1)</f>
        <v>2021</v>
      </c>
      <c r="D24" s="649">
        <v>11571520.688888686</v>
      </c>
      <c r="E24" s="650">
        <v>388114.48634834524</v>
      </c>
      <c r="F24" s="649">
        <v>11183406.20254034</v>
      </c>
      <c r="G24" s="650">
        <v>1581979.7861437595</v>
      </c>
      <c r="H24" s="651">
        <v>1581979.7861437595</v>
      </c>
      <c r="I24" s="501">
        <f t="shared" si="6"/>
        <v>0</v>
      </c>
      <c r="J24" s="501"/>
      <c r="K24" s="507">
        <f t="shared" ref="K24" si="10">G24</f>
        <v>1581979.7861437595</v>
      </c>
      <c r="L24" s="508">
        <f t="shared" ref="L24" si="11">IF(K24&lt;&gt;0,+G24-K24,0)</f>
        <v>0</v>
      </c>
      <c r="M24" s="507">
        <f t="shared" ref="M24" si="12">H24</f>
        <v>1581979.7861437595</v>
      </c>
      <c r="N24" s="505">
        <f t="shared" si="4"/>
        <v>0</v>
      </c>
      <c r="O24" s="505">
        <f t="shared" si="5"/>
        <v>0</v>
      </c>
      <c r="P24" s="279"/>
      <c r="R24" s="244"/>
      <c r="S24" s="244"/>
      <c r="T24" s="244"/>
      <c r="U24" s="244"/>
    </row>
    <row r="25" spans="2:21" ht="12.5">
      <c r="B25" s="145" t="str">
        <f t="shared" si="0"/>
        <v>IU</v>
      </c>
      <c r="C25" s="496">
        <f>IF(D11="","-",+C24+1)</f>
        <v>2022</v>
      </c>
      <c r="D25" s="649">
        <v>11075905.172169829</v>
      </c>
      <c r="E25" s="650">
        <v>427563.55451612902</v>
      </c>
      <c r="F25" s="649">
        <v>10648341.6176537</v>
      </c>
      <c r="G25" s="650">
        <v>1602683.1037737736</v>
      </c>
      <c r="H25" s="651">
        <v>1602683.1037737736</v>
      </c>
      <c r="I25" s="501">
        <f t="shared" si="6"/>
        <v>0</v>
      </c>
      <c r="J25" s="501"/>
      <c r="K25" s="507">
        <f t="shared" ref="K25" si="13">G25</f>
        <v>1602683.1037737736</v>
      </c>
      <c r="L25" s="508">
        <f t="shared" ref="L25" si="14">IF(K25&lt;&gt;0,+G25-K25,0)</f>
        <v>0</v>
      </c>
      <c r="M25" s="507">
        <f t="shared" ref="M25" si="15">H25</f>
        <v>1602683.1037737736</v>
      </c>
      <c r="N25" s="505">
        <f t="shared" si="4"/>
        <v>0</v>
      </c>
      <c r="O25" s="505">
        <f t="shared" si="5"/>
        <v>0</v>
      </c>
      <c r="P25" s="279"/>
      <c r="R25" s="244"/>
      <c r="S25" s="244"/>
      <c r="T25" s="244"/>
      <c r="U25" s="244"/>
    </row>
    <row r="26" spans="2:21" ht="12.5">
      <c r="B26" s="145" t="str">
        <f t="shared" si="0"/>
        <v>IU</v>
      </c>
      <c r="C26" s="496">
        <f>IF(D11="","-",+C25+1)</f>
        <v>2023</v>
      </c>
      <c r="D26" s="649">
        <v>10626614.224414287</v>
      </c>
      <c r="E26" s="650">
        <v>427563.54838709679</v>
      </c>
      <c r="F26" s="649">
        <v>10199050.67602719</v>
      </c>
      <c r="G26" s="650">
        <v>1604555.7292482569</v>
      </c>
      <c r="H26" s="651">
        <v>1604555.7292482569</v>
      </c>
      <c r="I26" s="501">
        <f t="shared" si="6"/>
        <v>0</v>
      </c>
      <c r="J26" s="501"/>
      <c r="K26" s="507">
        <f t="shared" ref="K26" si="16">G26</f>
        <v>1604555.7292482569</v>
      </c>
      <c r="L26" s="508">
        <f t="shared" ref="L26" si="17">IF(K26&lt;&gt;0,+G26-K26,0)</f>
        <v>0</v>
      </c>
      <c r="M26" s="507">
        <f t="shared" ref="M26" si="18">H26</f>
        <v>1604555.7292482569</v>
      </c>
      <c r="N26" s="505">
        <f t="shared" si="4"/>
        <v>0</v>
      </c>
      <c r="O26" s="505">
        <f t="shared" si="5"/>
        <v>0</v>
      </c>
      <c r="P26" s="279"/>
      <c r="R26" s="244"/>
      <c r="S26" s="244"/>
      <c r="T26" s="244"/>
      <c r="U26" s="244"/>
    </row>
    <row r="27" spans="2:21" ht="12.5">
      <c r="B27" s="145" t="str">
        <f t="shared" si="0"/>
        <v>IU</v>
      </c>
      <c r="C27" s="496">
        <f>IF(D11="","-",+C26+1)</f>
        <v>2024</v>
      </c>
      <c r="D27" s="509">
        <f>IF(F26+SUM(E$17:E26)=D$10,F26,D$10-SUM(E$17:E26))</f>
        <v>10200773.548208257</v>
      </c>
      <c r="E27" s="510">
        <f t="shared" ref="E27:E73" si="19">IF(+$I$14&lt;F26,$I$14,D27)</f>
        <v>401650.60606060608</v>
      </c>
      <c r="F27" s="511">
        <f t="shared" ref="F27:F73" si="20">+D27-E27</f>
        <v>9799122.9421476517</v>
      </c>
      <c r="G27" s="512">
        <f t="shared" ref="G27:G73" si="21">(D27+F27)/2*I$12+E27</f>
        <v>1549232.4057174022</v>
      </c>
      <c r="H27" s="478">
        <f t="shared" ref="H27:H73" si="22">+(D27+F27)/2*I$13+E27</f>
        <v>1549232.4057174022</v>
      </c>
      <c r="I27" s="501">
        <f t="shared" si="6"/>
        <v>0</v>
      </c>
      <c r="J27" s="501"/>
      <c r="K27" s="513"/>
      <c r="L27" s="505">
        <f t="shared" ref="L27:L73" si="23">IF(K27&lt;&gt;0,+G27-K27,0)</f>
        <v>0</v>
      </c>
      <c r="M27" s="513"/>
      <c r="N27" s="505">
        <f t="shared" si="4"/>
        <v>0</v>
      </c>
      <c r="O27" s="505">
        <f t="shared" si="5"/>
        <v>0</v>
      </c>
      <c r="P27" s="279"/>
      <c r="R27" s="244"/>
      <c r="S27" s="244"/>
      <c r="T27" s="244"/>
      <c r="U27" s="244"/>
    </row>
    <row r="28" spans="2:21" ht="12.5">
      <c r="B28" s="145" t="str">
        <f t="shared" si="0"/>
        <v/>
      </c>
      <c r="C28" s="496">
        <f>IF(D11="","-",+C27+1)</f>
        <v>2025</v>
      </c>
      <c r="D28" s="509">
        <f>IF(F27+SUM(E$17:E27)=D$10,F27,D$10-SUM(E$17:E27))</f>
        <v>9799122.9421476517</v>
      </c>
      <c r="E28" s="510">
        <f t="shared" si="19"/>
        <v>401650.60606060608</v>
      </c>
      <c r="F28" s="511">
        <f t="shared" si="20"/>
        <v>9397472.3360870462</v>
      </c>
      <c r="G28" s="512">
        <f t="shared" si="21"/>
        <v>1503139.4746306306</v>
      </c>
      <c r="H28" s="478">
        <f t="shared" si="22"/>
        <v>1503139.4746306306</v>
      </c>
      <c r="I28" s="501">
        <f t="shared" si="6"/>
        <v>0</v>
      </c>
      <c r="J28" s="501"/>
      <c r="K28" s="513"/>
      <c r="L28" s="505">
        <f t="shared" si="23"/>
        <v>0</v>
      </c>
      <c r="M28" s="513"/>
      <c r="N28" s="505">
        <f t="shared" si="4"/>
        <v>0</v>
      </c>
      <c r="O28" s="505">
        <f t="shared" si="5"/>
        <v>0</v>
      </c>
      <c r="P28" s="279"/>
      <c r="R28" s="244"/>
      <c r="S28" s="244"/>
      <c r="T28" s="244"/>
      <c r="U28" s="244"/>
    </row>
    <row r="29" spans="2:21" ht="12.5">
      <c r="B29" s="145" t="str">
        <f t="shared" si="0"/>
        <v/>
      </c>
      <c r="C29" s="496">
        <f>IF(D11="","-",+C28+1)</f>
        <v>2026</v>
      </c>
      <c r="D29" s="509">
        <f>IF(F28+SUM(E$17:E28)=D$10,F28,D$10-SUM(E$17:E28))</f>
        <v>9397472.3360870462</v>
      </c>
      <c r="E29" s="510">
        <f t="shared" si="19"/>
        <v>401650.60606060608</v>
      </c>
      <c r="F29" s="511">
        <f t="shared" si="20"/>
        <v>8995821.7300264407</v>
      </c>
      <c r="G29" s="512">
        <f t="shared" si="21"/>
        <v>1457046.5435438585</v>
      </c>
      <c r="H29" s="478">
        <f t="shared" si="22"/>
        <v>1457046.5435438585</v>
      </c>
      <c r="I29" s="501">
        <f t="shared" si="6"/>
        <v>0</v>
      </c>
      <c r="J29" s="501"/>
      <c r="K29" s="513"/>
      <c r="L29" s="505">
        <f t="shared" si="23"/>
        <v>0</v>
      </c>
      <c r="M29" s="513"/>
      <c r="N29" s="505">
        <f t="shared" si="4"/>
        <v>0</v>
      </c>
      <c r="O29" s="505">
        <f t="shared" si="5"/>
        <v>0</v>
      </c>
      <c r="P29" s="279"/>
      <c r="R29" s="244"/>
      <c r="S29" s="244"/>
      <c r="T29" s="244"/>
      <c r="U29" s="244"/>
    </row>
    <row r="30" spans="2:21" ht="12.5">
      <c r="B30" s="145" t="str">
        <f t="shared" si="0"/>
        <v/>
      </c>
      <c r="C30" s="496">
        <f>IF(D11="","-",+C29+1)</f>
        <v>2027</v>
      </c>
      <c r="D30" s="509">
        <f>IF(F29+SUM(E$17:E29)=D$10,F29,D$10-SUM(E$17:E29))</f>
        <v>8995821.7300264407</v>
      </c>
      <c r="E30" s="510">
        <f t="shared" si="19"/>
        <v>401650.60606060608</v>
      </c>
      <c r="F30" s="511">
        <f t="shared" si="20"/>
        <v>8594171.1239658352</v>
      </c>
      <c r="G30" s="512">
        <f t="shared" si="21"/>
        <v>1410953.6124570868</v>
      </c>
      <c r="H30" s="478">
        <f t="shared" si="22"/>
        <v>1410953.6124570868</v>
      </c>
      <c r="I30" s="501">
        <f t="shared" si="6"/>
        <v>0</v>
      </c>
      <c r="J30" s="501"/>
      <c r="K30" s="513"/>
      <c r="L30" s="505">
        <f t="shared" si="23"/>
        <v>0</v>
      </c>
      <c r="M30" s="513"/>
      <c r="N30" s="505">
        <f t="shared" si="4"/>
        <v>0</v>
      </c>
      <c r="O30" s="505">
        <f t="shared" si="5"/>
        <v>0</v>
      </c>
      <c r="P30" s="279"/>
      <c r="R30" s="244"/>
      <c r="S30" s="244"/>
      <c r="T30" s="244"/>
      <c r="U30" s="244"/>
    </row>
    <row r="31" spans="2:21" ht="12.5">
      <c r="B31" s="145" t="str">
        <f t="shared" si="0"/>
        <v/>
      </c>
      <c r="C31" s="496">
        <f>IF(D11="","-",+C30+1)</f>
        <v>2028</v>
      </c>
      <c r="D31" s="509">
        <f>IF(F30+SUM(E$17:E30)=D$10,F30,D$10-SUM(E$17:E30))</f>
        <v>8594171.1239658352</v>
      </c>
      <c r="E31" s="510">
        <f t="shared" si="19"/>
        <v>401650.60606060608</v>
      </c>
      <c r="F31" s="511">
        <f t="shared" si="20"/>
        <v>8192520.5179052288</v>
      </c>
      <c r="G31" s="512">
        <f t="shared" si="21"/>
        <v>1364860.6813703147</v>
      </c>
      <c r="H31" s="478">
        <f t="shared" si="22"/>
        <v>1364860.6813703147</v>
      </c>
      <c r="I31" s="501">
        <f t="shared" si="6"/>
        <v>0</v>
      </c>
      <c r="J31" s="501"/>
      <c r="K31" s="513"/>
      <c r="L31" s="505">
        <f t="shared" si="23"/>
        <v>0</v>
      </c>
      <c r="M31" s="513"/>
      <c r="N31" s="505">
        <f t="shared" si="4"/>
        <v>0</v>
      </c>
      <c r="O31" s="505">
        <f t="shared" si="5"/>
        <v>0</v>
      </c>
      <c r="P31" s="279"/>
      <c r="Q31" s="221"/>
      <c r="R31" s="279"/>
      <c r="S31" s="279"/>
      <c r="T31" s="279"/>
      <c r="U31" s="244"/>
    </row>
    <row r="32" spans="2:21" ht="12.5">
      <c r="B32" s="145" t="str">
        <f t="shared" si="0"/>
        <v/>
      </c>
      <c r="C32" s="496">
        <f>IF(D12="","-",+C31+1)</f>
        <v>2029</v>
      </c>
      <c r="D32" s="509">
        <f>IF(F31+SUM(E$17:E31)=D$10,F31,D$10-SUM(E$17:E31))</f>
        <v>8192520.5179052288</v>
      </c>
      <c r="E32" s="510">
        <f>IF(+$I$14&lt;F31,$I$14,D32)</f>
        <v>401650.60606060608</v>
      </c>
      <c r="F32" s="511">
        <f>+D32-E32</f>
        <v>7790869.9118446223</v>
      </c>
      <c r="G32" s="512">
        <f t="shared" si="21"/>
        <v>1318767.7502835428</v>
      </c>
      <c r="H32" s="478">
        <f t="shared" si="22"/>
        <v>1318767.7502835428</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2030</v>
      </c>
      <c r="D33" s="509">
        <f>IF(F32+SUM(E$17:E32)=D$10,F32,D$10-SUM(E$17:E32))</f>
        <v>7790869.9118446223</v>
      </c>
      <c r="E33" s="510">
        <f>IF(+$I$14&lt;F32,$I$14,D33)</f>
        <v>401650.60606060608</v>
      </c>
      <c r="F33" s="511">
        <f>+D33-E33</f>
        <v>7389219.3057840159</v>
      </c>
      <c r="G33" s="512">
        <f t="shared" si="21"/>
        <v>1272674.8191967709</v>
      </c>
      <c r="H33" s="478">
        <f t="shared" si="22"/>
        <v>1272674.8191967709</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2031</v>
      </c>
      <c r="D34" s="515">
        <f>IF(F33+SUM(E$17:E33)=D$10,F33,D$10-SUM(E$17:E33))</f>
        <v>7389219.3057840159</v>
      </c>
      <c r="E34" s="516">
        <f t="shared" si="19"/>
        <v>401650.60606060608</v>
      </c>
      <c r="F34" s="517">
        <f t="shared" si="20"/>
        <v>6987568.6997234095</v>
      </c>
      <c r="G34" s="512">
        <f t="shared" si="21"/>
        <v>1226581.8881099988</v>
      </c>
      <c r="H34" s="478">
        <f t="shared" si="22"/>
        <v>1226581.8881099988</v>
      </c>
      <c r="I34" s="520">
        <f t="shared" si="6"/>
        <v>0</v>
      </c>
      <c r="J34" s="520"/>
      <c r="K34" s="521"/>
      <c r="L34" s="522">
        <f t="shared" si="23"/>
        <v>0</v>
      </c>
      <c r="M34" s="521"/>
      <c r="N34" s="522">
        <f t="shared" si="4"/>
        <v>0</v>
      </c>
      <c r="O34" s="522">
        <f t="shared" si="5"/>
        <v>0</v>
      </c>
      <c r="P34" s="523"/>
      <c r="Q34" s="217"/>
      <c r="R34" s="523"/>
      <c r="S34" s="523"/>
      <c r="T34" s="523"/>
      <c r="U34" s="244"/>
    </row>
    <row r="35" spans="2:21" ht="12.5">
      <c r="B35" s="145" t="str">
        <f t="shared" si="0"/>
        <v/>
      </c>
      <c r="C35" s="496">
        <f>IF(D11="","-",+C34+1)</f>
        <v>2032</v>
      </c>
      <c r="D35" s="509">
        <f>IF(F34+SUM(E$17:E34)=D$10,F34,D$10-SUM(E$17:E34))</f>
        <v>6987568.6997234095</v>
      </c>
      <c r="E35" s="510">
        <f t="shared" si="19"/>
        <v>401650.60606060608</v>
      </c>
      <c r="F35" s="511">
        <f t="shared" si="20"/>
        <v>6585918.0936628031</v>
      </c>
      <c r="G35" s="512">
        <f t="shared" si="21"/>
        <v>1180488.9570232271</v>
      </c>
      <c r="H35" s="478">
        <f t="shared" si="22"/>
        <v>1180488.9570232271</v>
      </c>
      <c r="I35" s="501">
        <f t="shared" si="6"/>
        <v>0</v>
      </c>
      <c r="J35" s="501"/>
      <c r="K35" s="513"/>
      <c r="L35" s="505">
        <f t="shared" si="23"/>
        <v>0</v>
      </c>
      <c r="M35" s="513"/>
      <c r="N35" s="505">
        <f t="shared" si="4"/>
        <v>0</v>
      </c>
      <c r="O35" s="505">
        <f t="shared" si="5"/>
        <v>0</v>
      </c>
      <c r="P35" s="279"/>
      <c r="R35" s="244"/>
      <c r="S35" s="244"/>
      <c r="T35" s="244"/>
      <c r="U35" s="244"/>
    </row>
    <row r="36" spans="2:21" ht="12.5">
      <c r="B36" s="145" t="str">
        <f t="shared" si="0"/>
        <v/>
      </c>
      <c r="C36" s="496">
        <f>IF(D11="","-",+C35+1)</f>
        <v>2033</v>
      </c>
      <c r="D36" s="509">
        <f>IF(F35+SUM(E$17:E35)=D$10,F35,D$10-SUM(E$17:E35))</f>
        <v>6585918.0936628031</v>
      </c>
      <c r="E36" s="510">
        <f t="shared" si="19"/>
        <v>401650.60606060608</v>
      </c>
      <c r="F36" s="511">
        <f t="shared" si="20"/>
        <v>6184267.4876021966</v>
      </c>
      <c r="G36" s="512">
        <f t="shared" si="21"/>
        <v>1134396.025936455</v>
      </c>
      <c r="H36" s="478">
        <f t="shared" si="22"/>
        <v>1134396.025936455</v>
      </c>
      <c r="I36" s="501">
        <f t="shared" si="6"/>
        <v>0</v>
      </c>
      <c r="J36" s="501"/>
      <c r="K36" s="513"/>
      <c r="L36" s="505">
        <f t="shared" si="23"/>
        <v>0</v>
      </c>
      <c r="M36" s="513"/>
      <c r="N36" s="505">
        <f t="shared" si="4"/>
        <v>0</v>
      </c>
      <c r="O36" s="505">
        <f t="shared" si="5"/>
        <v>0</v>
      </c>
      <c r="P36" s="279"/>
      <c r="R36" s="244"/>
      <c r="S36" s="244"/>
      <c r="T36" s="244"/>
      <c r="U36" s="244"/>
    </row>
    <row r="37" spans="2:21" ht="12.5">
      <c r="B37" s="145" t="str">
        <f t="shared" si="0"/>
        <v/>
      </c>
      <c r="C37" s="496">
        <f>IF(D11="","-",+C36+1)</f>
        <v>2034</v>
      </c>
      <c r="D37" s="509">
        <f>IF(F36+SUM(E$17:E36)=D$10,F36,D$10-SUM(E$17:E36))</f>
        <v>6184267.4876021966</v>
      </c>
      <c r="E37" s="510">
        <f t="shared" si="19"/>
        <v>401650.60606060608</v>
      </c>
      <c r="F37" s="511">
        <f t="shared" si="20"/>
        <v>5782616.8815415902</v>
      </c>
      <c r="G37" s="512">
        <f t="shared" si="21"/>
        <v>1088303.0948496831</v>
      </c>
      <c r="H37" s="478">
        <f t="shared" si="22"/>
        <v>1088303.0948496831</v>
      </c>
      <c r="I37" s="501">
        <f t="shared" si="6"/>
        <v>0</v>
      </c>
      <c r="J37" s="501"/>
      <c r="K37" s="513"/>
      <c r="L37" s="505">
        <f t="shared" si="23"/>
        <v>0</v>
      </c>
      <c r="M37" s="513"/>
      <c r="N37" s="505">
        <f t="shared" si="4"/>
        <v>0</v>
      </c>
      <c r="O37" s="505">
        <f t="shared" si="5"/>
        <v>0</v>
      </c>
      <c r="P37" s="279"/>
      <c r="R37" s="244"/>
      <c r="S37" s="244"/>
      <c r="T37" s="244"/>
      <c r="U37" s="244"/>
    </row>
    <row r="38" spans="2:21" ht="12.5">
      <c r="B38" s="145" t="str">
        <f t="shared" si="0"/>
        <v/>
      </c>
      <c r="C38" s="496">
        <f>IF(D11="","-",+C37+1)</f>
        <v>2035</v>
      </c>
      <c r="D38" s="509">
        <f>IF(F37+SUM(E$17:E37)=D$10,F37,D$10-SUM(E$17:E37))</f>
        <v>5782616.8815415902</v>
      </c>
      <c r="E38" s="510">
        <f t="shared" si="19"/>
        <v>401650.60606060608</v>
      </c>
      <c r="F38" s="511">
        <f t="shared" si="20"/>
        <v>5380966.2754809838</v>
      </c>
      <c r="G38" s="512">
        <f t="shared" si="21"/>
        <v>1042210.163762911</v>
      </c>
      <c r="H38" s="478">
        <f t="shared" si="22"/>
        <v>1042210.163762911</v>
      </c>
      <c r="I38" s="501">
        <f t="shared" si="6"/>
        <v>0</v>
      </c>
      <c r="J38" s="501"/>
      <c r="K38" s="513"/>
      <c r="L38" s="505">
        <f t="shared" si="23"/>
        <v>0</v>
      </c>
      <c r="M38" s="513"/>
      <c r="N38" s="505">
        <f t="shared" si="4"/>
        <v>0</v>
      </c>
      <c r="O38" s="505">
        <f t="shared" si="5"/>
        <v>0</v>
      </c>
      <c r="P38" s="279"/>
      <c r="R38" s="244"/>
      <c r="S38" s="244"/>
      <c r="T38" s="244"/>
      <c r="U38" s="244"/>
    </row>
    <row r="39" spans="2:21" ht="12.5">
      <c r="B39" s="145" t="str">
        <f t="shared" si="0"/>
        <v/>
      </c>
      <c r="C39" s="496">
        <f>IF(D11="","-",+C38+1)</f>
        <v>2036</v>
      </c>
      <c r="D39" s="509">
        <f>IF(F38+SUM(E$17:E38)=D$10,F38,D$10-SUM(E$17:E38))</f>
        <v>5380966.2754809838</v>
      </c>
      <c r="E39" s="510">
        <f t="shared" si="19"/>
        <v>401650.60606060608</v>
      </c>
      <c r="F39" s="511">
        <f t="shared" si="20"/>
        <v>4979315.6694203774</v>
      </c>
      <c r="G39" s="512">
        <f t="shared" si="21"/>
        <v>996117.23267613922</v>
      </c>
      <c r="H39" s="478">
        <f t="shared" si="22"/>
        <v>996117.23267613922</v>
      </c>
      <c r="I39" s="501">
        <f t="shared" si="6"/>
        <v>0</v>
      </c>
      <c r="J39" s="501"/>
      <c r="K39" s="513"/>
      <c r="L39" s="505">
        <f t="shared" si="23"/>
        <v>0</v>
      </c>
      <c r="M39" s="513"/>
      <c r="N39" s="505">
        <f t="shared" si="4"/>
        <v>0</v>
      </c>
      <c r="O39" s="505">
        <f t="shared" si="5"/>
        <v>0</v>
      </c>
      <c r="P39" s="279"/>
      <c r="R39" s="244"/>
      <c r="S39" s="244"/>
      <c r="T39" s="244"/>
      <c r="U39" s="244"/>
    </row>
    <row r="40" spans="2:21" ht="12.5">
      <c r="B40" s="145" t="str">
        <f t="shared" si="0"/>
        <v/>
      </c>
      <c r="C40" s="496">
        <f>IF(D11="","-",+C39+1)</f>
        <v>2037</v>
      </c>
      <c r="D40" s="509">
        <f>IF(F39+SUM(E$17:E39)=D$10,F39,D$10-SUM(E$17:E39))</f>
        <v>4979315.6694203774</v>
      </c>
      <c r="E40" s="510">
        <f t="shared" si="19"/>
        <v>401650.60606060608</v>
      </c>
      <c r="F40" s="511">
        <f t="shared" si="20"/>
        <v>4577665.0633597709</v>
      </c>
      <c r="G40" s="512">
        <f t="shared" si="21"/>
        <v>950024.3015893671</v>
      </c>
      <c r="H40" s="478">
        <f t="shared" si="22"/>
        <v>950024.3015893671</v>
      </c>
      <c r="I40" s="501">
        <f t="shared" si="6"/>
        <v>0</v>
      </c>
      <c r="J40" s="501"/>
      <c r="K40" s="513"/>
      <c r="L40" s="505">
        <f t="shared" si="23"/>
        <v>0</v>
      </c>
      <c r="M40" s="513"/>
      <c r="N40" s="505">
        <f t="shared" si="4"/>
        <v>0</v>
      </c>
      <c r="O40" s="505">
        <f t="shared" si="5"/>
        <v>0</v>
      </c>
      <c r="P40" s="279"/>
      <c r="R40" s="244"/>
      <c r="S40" s="244"/>
      <c r="T40" s="244"/>
      <c r="U40" s="244"/>
    </row>
    <row r="41" spans="2:21" ht="12.5">
      <c r="B41" s="145" t="str">
        <f t="shared" si="0"/>
        <v/>
      </c>
      <c r="C41" s="496">
        <f>IF(D12="","-",+C40+1)</f>
        <v>2038</v>
      </c>
      <c r="D41" s="509">
        <f>IF(F40+SUM(E$17:E40)=D$10,F40,D$10-SUM(E$17:E40))</f>
        <v>4577665.0633597709</v>
      </c>
      <c r="E41" s="510">
        <f t="shared" si="19"/>
        <v>401650.60606060608</v>
      </c>
      <c r="F41" s="511">
        <f t="shared" si="20"/>
        <v>4176014.457299165</v>
      </c>
      <c r="G41" s="512">
        <f t="shared" si="21"/>
        <v>903931.37050259532</v>
      </c>
      <c r="H41" s="478">
        <f t="shared" si="22"/>
        <v>903931.37050259532</v>
      </c>
      <c r="I41" s="501">
        <f t="shared" si="6"/>
        <v>0</v>
      </c>
      <c r="J41" s="501"/>
      <c r="K41" s="513"/>
      <c r="L41" s="505">
        <f t="shared" si="23"/>
        <v>0</v>
      </c>
      <c r="M41" s="513"/>
      <c r="N41" s="505">
        <f t="shared" si="4"/>
        <v>0</v>
      </c>
      <c r="O41" s="505">
        <f t="shared" si="5"/>
        <v>0</v>
      </c>
      <c r="P41" s="279"/>
      <c r="R41" s="244"/>
      <c r="S41" s="244"/>
      <c r="T41" s="244"/>
      <c r="U41" s="244"/>
    </row>
    <row r="42" spans="2:21" ht="12.5">
      <c r="B42" s="145" t="str">
        <f t="shared" si="0"/>
        <v/>
      </c>
      <c r="C42" s="496">
        <f>IF(D13="","-",+C41+1)</f>
        <v>2039</v>
      </c>
      <c r="D42" s="509">
        <f>IF(F41+SUM(E$17:E41)=D$10,F41,D$10-SUM(E$17:E41))</f>
        <v>4176014.457299165</v>
      </c>
      <c r="E42" s="510">
        <f t="shared" si="19"/>
        <v>401650.60606060608</v>
      </c>
      <c r="F42" s="511">
        <f t="shared" si="20"/>
        <v>3774363.851238559</v>
      </c>
      <c r="G42" s="512">
        <f t="shared" si="21"/>
        <v>857838.43941582332</v>
      </c>
      <c r="H42" s="478">
        <f t="shared" si="22"/>
        <v>857838.43941582332</v>
      </c>
      <c r="I42" s="501">
        <f t="shared" si="6"/>
        <v>0</v>
      </c>
      <c r="J42" s="501"/>
      <c r="K42" s="513"/>
      <c r="L42" s="505">
        <f t="shared" si="23"/>
        <v>0</v>
      </c>
      <c r="M42" s="513"/>
      <c r="N42" s="505">
        <f t="shared" si="4"/>
        <v>0</v>
      </c>
      <c r="O42" s="505">
        <f t="shared" si="5"/>
        <v>0</v>
      </c>
      <c r="P42" s="279"/>
      <c r="R42" s="244"/>
      <c r="S42" s="244"/>
      <c r="T42" s="244"/>
      <c r="U42" s="244"/>
    </row>
    <row r="43" spans="2:21" ht="12.5">
      <c r="B43" s="145" t="str">
        <f t="shared" si="0"/>
        <v/>
      </c>
      <c r="C43" s="496">
        <f>IF(D11="","-",+C42+1)</f>
        <v>2040</v>
      </c>
      <c r="D43" s="509">
        <f>IF(F42+SUM(E$17:E42)=D$10,F42,D$10-SUM(E$17:E42))</f>
        <v>3774363.851238559</v>
      </c>
      <c r="E43" s="510">
        <f t="shared" si="19"/>
        <v>401650.60606060608</v>
      </c>
      <c r="F43" s="511">
        <f t="shared" si="20"/>
        <v>3372713.245177953</v>
      </c>
      <c r="G43" s="512">
        <f t="shared" si="21"/>
        <v>811745.50832905155</v>
      </c>
      <c r="H43" s="478">
        <f t="shared" si="22"/>
        <v>811745.50832905155</v>
      </c>
      <c r="I43" s="501">
        <f t="shared" si="6"/>
        <v>0</v>
      </c>
      <c r="J43" s="501"/>
      <c r="K43" s="513"/>
      <c r="L43" s="505">
        <f t="shared" si="23"/>
        <v>0</v>
      </c>
      <c r="M43" s="513"/>
      <c r="N43" s="505">
        <f t="shared" si="4"/>
        <v>0</v>
      </c>
      <c r="O43" s="505">
        <f t="shared" si="5"/>
        <v>0</v>
      </c>
      <c r="P43" s="279"/>
      <c r="R43" s="244"/>
      <c r="S43" s="244"/>
      <c r="T43" s="244"/>
      <c r="U43" s="244"/>
    </row>
    <row r="44" spans="2:21" ht="12.5">
      <c r="B44" s="145" t="str">
        <f t="shared" si="0"/>
        <v/>
      </c>
      <c r="C44" s="496">
        <f>IF(D11="","-",+C43+1)</f>
        <v>2041</v>
      </c>
      <c r="D44" s="509">
        <f>IF(F43+SUM(E$17:E43)=D$10,F43,D$10-SUM(E$17:E43))</f>
        <v>3372713.245177953</v>
      </c>
      <c r="E44" s="510">
        <f t="shared" si="19"/>
        <v>401650.60606060608</v>
      </c>
      <c r="F44" s="511">
        <f t="shared" si="20"/>
        <v>2971062.6391173471</v>
      </c>
      <c r="G44" s="512">
        <f t="shared" si="21"/>
        <v>765652.57724227954</v>
      </c>
      <c r="H44" s="478">
        <f t="shared" si="22"/>
        <v>765652.57724227954</v>
      </c>
      <c r="I44" s="501">
        <f t="shared" si="6"/>
        <v>0</v>
      </c>
      <c r="J44" s="501"/>
      <c r="K44" s="513"/>
      <c r="L44" s="505">
        <f t="shared" si="23"/>
        <v>0</v>
      </c>
      <c r="M44" s="513"/>
      <c r="N44" s="505">
        <f t="shared" si="4"/>
        <v>0</v>
      </c>
      <c r="O44" s="505">
        <f t="shared" si="5"/>
        <v>0</v>
      </c>
      <c r="P44" s="279"/>
      <c r="R44" s="244"/>
      <c r="S44" s="244"/>
      <c r="T44" s="244"/>
      <c r="U44" s="244"/>
    </row>
    <row r="45" spans="2:21" ht="12.5">
      <c r="B45" s="145" t="str">
        <f t="shared" si="0"/>
        <v/>
      </c>
      <c r="C45" s="496">
        <f>IF(D11="","-",+C44+1)</f>
        <v>2042</v>
      </c>
      <c r="D45" s="509">
        <f>IF(F44+SUM(E$17:E44)=D$10,F44,D$10-SUM(E$17:E44))</f>
        <v>2971062.6391173471</v>
      </c>
      <c r="E45" s="510">
        <f t="shared" si="19"/>
        <v>401650.60606060608</v>
      </c>
      <c r="F45" s="511">
        <f t="shared" si="20"/>
        <v>2569412.0330567411</v>
      </c>
      <c r="G45" s="512">
        <f t="shared" si="21"/>
        <v>719559.64615550765</v>
      </c>
      <c r="H45" s="478">
        <f t="shared" si="22"/>
        <v>719559.64615550765</v>
      </c>
      <c r="I45" s="501">
        <f t="shared" si="6"/>
        <v>0</v>
      </c>
      <c r="J45" s="501"/>
      <c r="K45" s="513"/>
      <c r="L45" s="505">
        <f t="shared" si="23"/>
        <v>0</v>
      </c>
      <c r="M45" s="513"/>
      <c r="N45" s="505">
        <f t="shared" si="4"/>
        <v>0</v>
      </c>
      <c r="O45" s="505">
        <f t="shared" si="5"/>
        <v>0</v>
      </c>
      <c r="P45" s="279"/>
      <c r="R45" s="244"/>
      <c r="S45" s="244"/>
      <c r="T45" s="244"/>
      <c r="U45" s="244"/>
    </row>
    <row r="46" spans="2:21" ht="12.5">
      <c r="B46" s="145" t="str">
        <f t="shared" si="0"/>
        <v/>
      </c>
      <c r="C46" s="496">
        <f>IF(D11="","-",+C45+1)</f>
        <v>2043</v>
      </c>
      <c r="D46" s="509">
        <f>IF(F45+SUM(E$17:E45)=D$10,F45,D$10-SUM(E$17:E45))</f>
        <v>2569412.0330567411</v>
      </c>
      <c r="E46" s="510">
        <f t="shared" si="19"/>
        <v>401650.60606060608</v>
      </c>
      <c r="F46" s="511">
        <f t="shared" si="20"/>
        <v>2167761.4269961352</v>
      </c>
      <c r="G46" s="512">
        <f t="shared" si="21"/>
        <v>673466.71506873565</v>
      </c>
      <c r="H46" s="478">
        <f t="shared" si="22"/>
        <v>673466.71506873565</v>
      </c>
      <c r="I46" s="501">
        <f t="shared" si="6"/>
        <v>0</v>
      </c>
      <c r="J46" s="501"/>
      <c r="K46" s="513"/>
      <c r="L46" s="505">
        <f t="shared" si="23"/>
        <v>0</v>
      </c>
      <c r="M46" s="513"/>
      <c r="N46" s="505">
        <f t="shared" si="4"/>
        <v>0</v>
      </c>
      <c r="O46" s="505">
        <f t="shared" si="5"/>
        <v>0</v>
      </c>
      <c r="P46" s="279"/>
      <c r="R46" s="244"/>
      <c r="S46" s="244"/>
      <c r="T46" s="244"/>
      <c r="U46" s="244"/>
    </row>
    <row r="47" spans="2:21" ht="12.5">
      <c r="B47" s="145" t="str">
        <f t="shared" si="0"/>
        <v/>
      </c>
      <c r="C47" s="496">
        <f>IF(D11="","-",+C46+1)</f>
        <v>2044</v>
      </c>
      <c r="D47" s="509">
        <f>IF(F46+SUM(E$17:E46)=D$10,F46,D$10-SUM(E$17:E46))</f>
        <v>2167761.4269961352</v>
      </c>
      <c r="E47" s="510">
        <f t="shared" si="19"/>
        <v>401650.60606060608</v>
      </c>
      <c r="F47" s="511">
        <f t="shared" si="20"/>
        <v>1766110.8209355292</v>
      </c>
      <c r="G47" s="512">
        <f t="shared" si="21"/>
        <v>627373.78398196388</v>
      </c>
      <c r="H47" s="478">
        <f t="shared" si="22"/>
        <v>627373.78398196388</v>
      </c>
      <c r="I47" s="501">
        <f t="shared" si="6"/>
        <v>0</v>
      </c>
      <c r="J47" s="501"/>
      <c r="K47" s="513"/>
      <c r="L47" s="505">
        <f t="shared" si="23"/>
        <v>0</v>
      </c>
      <c r="M47" s="513"/>
      <c r="N47" s="505">
        <f t="shared" si="4"/>
        <v>0</v>
      </c>
      <c r="O47" s="505">
        <f t="shared" si="5"/>
        <v>0</v>
      </c>
      <c r="P47" s="279"/>
      <c r="R47" s="244"/>
      <c r="S47" s="244"/>
      <c r="T47" s="244"/>
      <c r="U47" s="244"/>
    </row>
    <row r="48" spans="2:21" ht="12.5">
      <c r="B48" s="145" t="str">
        <f t="shared" si="0"/>
        <v/>
      </c>
      <c r="C48" s="496">
        <f>IF(D11="","-",+C47+1)</f>
        <v>2045</v>
      </c>
      <c r="D48" s="509">
        <f>IF(F47+SUM(E$17:E47)=D$10,F47,D$10-SUM(E$17:E47))</f>
        <v>1766110.8209355292</v>
      </c>
      <c r="E48" s="510">
        <f t="shared" si="19"/>
        <v>401650.60606060608</v>
      </c>
      <c r="F48" s="511">
        <f t="shared" si="20"/>
        <v>1364460.2148749232</v>
      </c>
      <c r="G48" s="512">
        <f t="shared" si="21"/>
        <v>581280.85289519187</v>
      </c>
      <c r="H48" s="478">
        <f t="shared" si="22"/>
        <v>581280.85289519187</v>
      </c>
      <c r="I48" s="501">
        <f t="shared" si="6"/>
        <v>0</v>
      </c>
      <c r="J48" s="501"/>
      <c r="K48" s="513"/>
      <c r="L48" s="505">
        <f t="shared" si="23"/>
        <v>0</v>
      </c>
      <c r="M48" s="513"/>
      <c r="N48" s="505">
        <f t="shared" si="4"/>
        <v>0</v>
      </c>
      <c r="O48" s="505">
        <f t="shared" si="5"/>
        <v>0</v>
      </c>
      <c r="P48" s="279"/>
      <c r="R48" s="244"/>
      <c r="S48" s="244"/>
      <c r="T48" s="244"/>
      <c r="U48" s="244"/>
    </row>
    <row r="49" spans="2:21" ht="12.5">
      <c r="B49" s="145" t="str">
        <f t="shared" si="0"/>
        <v/>
      </c>
      <c r="C49" s="496">
        <f>IF(D11="","-",+C48+1)</f>
        <v>2046</v>
      </c>
      <c r="D49" s="509">
        <f>IF(F48+SUM(E$17:E48)=D$10,F48,D$10-SUM(E$17:E48))</f>
        <v>1364460.2148749232</v>
      </c>
      <c r="E49" s="510">
        <f t="shared" si="19"/>
        <v>401650.60606060608</v>
      </c>
      <c r="F49" s="511">
        <f t="shared" si="20"/>
        <v>962809.60881431715</v>
      </c>
      <c r="G49" s="512">
        <f t="shared" si="21"/>
        <v>535187.92180841998</v>
      </c>
      <c r="H49" s="478">
        <f t="shared" si="22"/>
        <v>535187.92180841998</v>
      </c>
      <c r="I49" s="501">
        <f t="shared" si="6"/>
        <v>0</v>
      </c>
      <c r="J49" s="501"/>
      <c r="K49" s="513"/>
      <c r="L49" s="505">
        <f t="shared" si="23"/>
        <v>0</v>
      </c>
      <c r="M49" s="513"/>
      <c r="N49" s="505">
        <f t="shared" si="4"/>
        <v>0</v>
      </c>
      <c r="O49" s="505">
        <f t="shared" si="5"/>
        <v>0</v>
      </c>
      <c r="P49" s="279"/>
      <c r="R49" s="244"/>
      <c r="S49" s="244"/>
      <c r="T49" s="244"/>
      <c r="U49" s="244"/>
    </row>
    <row r="50" spans="2:21" ht="12.5">
      <c r="B50" s="145" t="str">
        <f t="shared" si="0"/>
        <v/>
      </c>
      <c r="C50" s="496">
        <f>IF(D11="","-",+C49+1)</f>
        <v>2047</v>
      </c>
      <c r="D50" s="509">
        <f>IF(F49+SUM(E$17:E49)=D$10,F49,D$10-SUM(E$17:E49))</f>
        <v>962809.60881431715</v>
      </c>
      <c r="E50" s="510">
        <f t="shared" si="19"/>
        <v>401650.60606060608</v>
      </c>
      <c r="F50" s="511">
        <f t="shared" si="20"/>
        <v>561159.00275371107</v>
      </c>
      <c r="G50" s="512">
        <f t="shared" si="21"/>
        <v>489094.99072164809</v>
      </c>
      <c r="H50" s="478">
        <f t="shared" si="22"/>
        <v>489094.99072164809</v>
      </c>
      <c r="I50" s="501">
        <f t="shared" si="6"/>
        <v>0</v>
      </c>
      <c r="J50" s="501"/>
      <c r="K50" s="513"/>
      <c r="L50" s="505">
        <f t="shared" si="23"/>
        <v>0</v>
      </c>
      <c r="M50" s="513"/>
      <c r="N50" s="505">
        <f t="shared" si="4"/>
        <v>0</v>
      </c>
      <c r="O50" s="505">
        <f t="shared" si="5"/>
        <v>0</v>
      </c>
      <c r="P50" s="279"/>
      <c r="R50" s="244"/>
      <c r="S50" s="244"/>
      <c r="T50" s="244"/>
      <c r="U50" s="244"/>
    </row>
    <row r="51" spans="2:21" ht="12.5">
      <c r="B51" s="145" t="str">
        <f t="shared" si="0"/>
        <v/>
      </c>
      <c r="C51" s="496">
        <f>IF(D11="","-",+C50+1)</f>
        <v>2048</v>
      </c>
      <c r="D51" s="509">
        <f>IF(F50+SUM(E$17:E50)=D$10,F50,D$10-SUM(E$17:E50))</f>
        <v>561159.00275371107</v>
      </c>
      <c r="E51" s="510">
        <f t="shared" si="19"/>
        <v>401650.60606060608</v>
      </c>
      <c r="F51" s="511">
        <f t="shared" si="20"/>
        <v>159508.39669310499</v>
      </c>
      <c r="G51" s="512">
        <f t="shared" si="21"/>
        <v>443002.0596348762</v>
      </c>
      <c r="H51" s="478">
        <f t="shared" si="22"/>
        <v>443002.0596348762</v>
      </c>
      <c r="I51" s="501">
        <f t="shared" si="6"/>
        <v>0</v>
      </c>
      <c r="J51" s="501"/>
      <c r="K51" s="513"/>
      <c r="L51" s="505">
        <f t="shared" si="23"/>
        <v>0</v>
      </c>
      <c r="M51" s="513"/>
      <c r="N51" s="505">
        <f t="shared" si="4"/>
        <v>0</v>
      </c>
      <c r="O51" s="505">
        <f t="shared" si="5"/>
        <v>0</v>
      </c>
      <c r="P51" s="279"/>
      <c r="R51" s="244"/>
      <c r="S51" s="244"/>
      <c r="T51" s="244"/>
      <c r="U51" s="244"/>
    </row>
    <row r="52" spans="2:21" ht="12.5">
      <c r="B52" s="145" t="str">
        <f t="shared" si="0"/>
        <v/>
      </c>
      <c r="C52" s="496">
        <f>IF(D11="","-",+C51+1)</f>
        <v>2049</v>
      </c>
      <c r="D52" s="509">
        <f>IF(F51+SUM(E$17:E51)=D$10,F51,D$10-SUM(E$17:E51))</f>
        <v>159508.39669310499</v>
      </c>
      <c r="E52" s="510">
        <f t="shared" si="19"/>
        <v>159508.39669310499</v>
      </c>
      <c r="F52" s="511">
        <f t="shared" si="20"/>
        <v>0</v>
      </c>
      <c r="G52" s="512">
        <f t="shared" si="21"/>
        <v>168660.89070854709</v>
      </c>
      <c r="H52" s="478">
        <f t="shared" si="22"/>
        <v>168660.89070854709</v>
      </c>
      <c r="I52" s="501">
        <f t="shared" si="6"/>
        <v>0</v>
      </c>
      <c r="J52" s="501"/>
      <c r="K52" s="513"/>
      <c r="L52" s="505">
        <f t="shared" si="23"/>
        <v>0</v>
      </c>
      <c r="M52" s="513"/>
      <c r="N52" s="505">
        <f t="shared" si="4"/>
        <v>0</v>
      </c>
      <c r="O52" s="505">
        <f t="shared" si="5"/>
        <v>0</v>
      </c>
      <c r="P52" s="279"/>
      <c r="R52" s="244"/>
      <c r="S52" s="244"/>
      <c r="T52" s="244"/>
      <c r="U52" s="244"/>
    </row>
    <row r="53" spans="2:21" ht="12.5">
      <c r="B53" s="145" t="str">
        <f t="shared" si="0"/>
        <v/>
      </c>
      <c r="C53" s="496">
        <f>IF(D11="","-",+C52+1)</f>
        <v>2050</v>
      </c>
      <c r="D53" s="509">
        <f>IF(F52+SUM(E$17:E52)=D$10,F52,D$10-SUM(E$17:E52))</f>
        <v>0</v>
      </c>
      <c r="E53" s="510">
        <f t="shared" si="19"/>
        <v>0</v>
      </c>
      <c r="F53" s="511">
        <f t="shared" si="20"/>
        <v>0</v>
      </c>
      <c r="G53" s="512">
        <f t="shared" si="21"/>
        <v>0</v>
      </c>
      <c r="H53" s="478">
        <f t="shared" si="22"/>
        <v>0</v>
      </c>
      <c r="I53" s="501">
        <f t="shared" si="6"/>
        <v>0</v>
      </c>
      <c r="J53" s="501"/>
      <c r="K53" s="513"/>
      <c r="L53" s="505">
        <f t="shared" si="23"/>
        <v>0</v>
      </c>
      <c r="M53" s="513"/>
      <c r="N53" s="505">
        <f t="shared" si="4"/>
        <v>0</v>
      </c>
      <c r="O53" s="505">
        <f t="shared" si="5"/>
        <v>0</v>
      </c>
      <c r="P53" s="279"/>
      <c r="R53" s="244"/>
      <c r="S53" s="244"/>
      <c r="T53" s="244"/>
      <c r="U53" s="244"/>
    </row>
    <row r="54" spans="2:21" ht="12.5">
      <c r="B54" s="145" t="str">
        <f t="shared" si="0"/>
        <v/>
      </c>
      <c r="C54" s="496">
        <f>IF(D11="","-",+C53+1)</f>
        <v>2051</v>
      </c>
      <c r="D54" s="509">
        <f>IF(F53+SUM(E$17:E53)=D$10,F53,D$10-SUM(E$17:E53))</f>
        <v>0</v>
      </c>
      <c r="E54" s="510">
        <f t="shared" si="19"/>
        <v>0</v>
      </c>
      <c r="F54" s="511">
        <f t="shared" si="20"/>
        <v>0</v>
      </c>
      <c r="G54" s="512">
        <f t="shared" si="21"/>
        <v>0</v>
      </c>
      <c r="H54" s="478">
        <f t="shared" si="22"/>
        <v>0</v>
      </c>
      <c r="I54" s="501">
        <f t="shared" si="6"/>
        <v>0</v>
      </c>
      <c r="J54" s="501"/>
      <c r="K54" s="513"/>
      <c r="L54" s="505">
        <f t="shared" si="23"/>
        <v>0</v>
      </c>
      <c r="M54" s="513"/>
      <c r="N54" s="505">
        <f t="shared" si="4"/>
        <v>0</v>
      </c>
      <c r="O54" s="505">
        <f t="shared" si="5"/>
        <v>0</v>
      </c>
      <c r="P54" s="279"/>
      <c r="R54" s="244"/>
      <c r="S54" s="244"/>
      <c r="T54" s="244"/>
      <c r="U54" s="244"/>
    </row>
    <row r="55" spans="2:21" ht="12.5">
      <c r="B55" s="145" t="str">
        <f t="shared" si="0"/>
        <v/>
      </c>
      <c r="C55" s="496">
        <f>IF(D11="","-",+C54+1)</f>
        <v>2052</v>
      </c>
      <c r="D55" s="509">
        <f>IF(F54+SUM(E$17:E54)=D$10,F54,D$10-SUM(E$17:E54))</f>
        <v>0</v>
      </c>
      <c r="E55" s="510">
        <f t="shared" si="19"/>
        <v>0</v>
      </c>
      <c r="F55" s="511">
        <f t="shared" si="20"/>
        <v>0</v>
      </c>
      <c r="G55" s="512">
        <f t="shared" si="21"/>
        <v>0</v>
      </c>
      <c r="H55" s="478">
        <f t="shared" si="22"/>
        <v>0</v>
      </c>
      <c r="I55" s="501">
        <f t="shared" si="6"/>
        <v>0</v>
      </c>
      <c r="J55" s="501"/>
      <c r="K55" s="513"/>
      <c r="L55" s="505">
        <f t="shared" si="23"/>
        <v>0</v>
      </c>
      <c r="M55" s="513"/>
      <c r="N55" s="505">
        <f t="shared" si="4"/>
        <v>0</v>
      </c>
      <c r="O55" s="505">
        <f t="shared" si="5"/>
        <v>0</v>
      </c>
      <c r="P55" s="279"/>
      <c r="R55" s="244"/>
      <c r="S55" s="244"/>
      <c r="T55" s="244"/>
      <c r="U55" s="244"/>
    </row>
    <row r="56" spans="2:21" ht="12.5">
      <c r="B56" s="145" t="str">
        <f t="shared" si="0"/>
        <v/>
      </c>
      <c r="C56" s="496">
        <f>IF(D11="","-",+C55+1)</f>
        <v>2053</v>
      </c>
      <c r="D56" s="509">
        <f>IF(F55+SUM(E$17:E55)=D$10,F55,D$10-SUM(E$17:E55))</f>
        <v>0</v>
      </c>
      <c r="E56" s="510">
        <f t="shared" si="19"/>
        <v>0</v>
      </c>
      <c r="F56" s="511">
        <f t="shared" si="20"/>
        <v>0</v>
      </c>
      <c r="G56" s="512">
        <f t="shared" si="21"/>
        <v>0</v>
      </c>
      <c r="H56" s="478">
        <f t="shared" si="22"/>
        <v>0</v>
      </c>
      <c r="I56" s="501">
        <f t="shared" si="6"/>
        <v>0</v>
      </c>
      <c r="J56" s="501"/>
      <c r="K56" s="513"/>
      <c r="L56" s="505">
        <f t="shared" si="23"/>
        <v>0</v>
      </c>
      <c r="M56" s="513"/>
      <c r="N56" s="505">
        <f t="shared" si="4"/>
        <v>0</v>
      </c>
      <c r="O56" s="505">
        <f t="shared" si="5"/>
        <v>0</v>
      </c>
      <c r="P56" s="279"/>
      <c r="R56" s="244"/>
      <c r="S56" s="244"/>
      <c r="T56" s="244"/>
      <c r="U56" s="244"/>
    </row>
    <row r="57" spans="2:21" ht="12.5">
      <c r="B57" s="145" t="str">
        <f t="shared" si="0"/>
        <v/>
      </c>
      <c r="C57" s="496">
        <f>IF(D11="","-",+C56+1)</f>
        <v>2054</v>
      </c>
      <c r="D57" s="509">
        <f>IF(F56+SUM(E$17:E56)=D$10,F56,D$10-SUM(E$17:E56))</f>
        <v>0</v>
      </c>
      <c r="E57" s="510">
        <f t="shared" si="19"/>
        <v>0</v>
      </c>
      <c r="F57" s="511">
        <f t="shared" si="20"/>
        <v>0</v>
      </c>
      <c r="G57" s="512">
        <f t="shared" si="21"/>
        <v>0</v>
      </c>
      <c r="H57" s="478">
        <f t="shared" si="22"/>
        <v>0</v>
      </c>
      <c r="I57" s="501">
        <f t="shared" si="6"/>
        <v>0</v>
      </c>
      <c r="J57" s="501"/>
      <c r="K57" s="513"/>
      <c r="L57" s="505">
        <f t="shared" si="23"/>
        <v>0</v>
      </c>
      <c r="M57" s="513"/>
      <c r="N57" s="505">
        <f t="shared" si="4"/>
        <v>0</v>
      </c>
      <c r="O57" s="505">
        <f t="shared" si="5"/>
        <v>0</v>
      </c>
      <c r="P57" s="279"/>
      <c r="R57" s="244"/>
      <c r="S57" s="244"/>
      <c r="T57" s="244"/>
      <c r="U57" s="244"/>
    </row>
    <row r="58" spans="2:21" ht="12.5">
      <c r="B58" s="145" t="str">
        <f t="shared" si="0"/>
        <v/>
      </c>
      <c r="C58" s="496">
        <f>IF(D11="","-",+C57+1)</f>
        <v>2055</v>
      </c>
      <c r="D58" s="509">
        <f>IF(F57+SUM(E$17:E57)=D$10,F57,D$10-SUM(E$17:E57))</f>
        <v>0</v>
      </c>
      <c r="E58" s="510">
        <f t="shared" si="19"/>
        <v>0</v>
      </c>
      <c r="F58" s="511">
        <f t="shared" si="20"/>
        <v>0</v>
      </c>
      <c r="G58" s="512">
        <f t="shared" si="21"/>
        <v>0</v>
      </c>
      <c r="H58" s="478">
        <f t="shared" si="22"/>
        <v>0</v>
      </c>
      <c r="I58" s="501">
        <f t="shared" si="6"/>
        <v>0</v>
      </c>
      <c r="J58" s="501"/>
      <c r="K58" s="513"/>
      <c r="L58" s="505">
        <f t="shared" si="23"/>
        <v>0</v>
      </c>
      <c r="M58" s="513"/>
      <c r="N58" s="505">
        <f t="shared" si="4"/>
        <v>0</v>
      </c>
      <c r="O58" s="505">
        <f t="shared" si="5"/>
        <v>0</v>
      </c>
      <c r="P58" s="279"/>
      <c r="R58" s="244"/>
      <c r="S58" s="244"/>
      <c r="T58" s="244"/>
      <c r="U58" s="244"/>
    </row>
    <row r="59" spans="2:21" ht="12.5">
      <c r="B59" s="145" t="str">
        <f t="shared" si="0"/>
        <v/>
      </c>
      <c r="C59" s="496">
        <f>IF(D11="","-",+C58+1)</f>
        <v>2056</v>
      </c>
      <c r="D59" s="509">
        <f>IF(F58+SUM(E$17:E58)=D$10,F58,D$10-SUM(E$17:E58))</f>
        <v>0</v>
      </c>
      <c r="E59" s="510">
        <f t="shared" si="19"/>
        <v>0</v>
      </c>
      <c r="F59" s="511">
        <f t="shared" si="20"/>
        <v>0</v>
      </c>
      <c r="G59" s="512">
        <f t="shared" si="21"/>
        <v>0</v>
      </c>
      <c r="H59" s="478">
        <f t="shared" si="22"/>
        <v>0</v>
      </c>
      <c r="I59" s="501">
        <f t="shared" si="6"/>
        <v>0</v>
      </c>
      <c r="J59" s="501"/>
      <c r="K59" s="513"/>
      <c r="L59" s="505">
        <f t="shared" si="23"/>
        <v>0</v>
      </c>
      <c r="M59" s="513"/>
      <c r="N59" s="505">
        <f t="shared" si="4"/>
        <v>0</v>
      </c>
      <c r="O59" s="505">
        <f t="shared" si="5"/>
        <v>0</v>
      </c>
      <c r="P59" s="279"/>
      <c r="R59" s="244"/>
      <c r="S59" s="244"/>
      <c r="T59" s="244"/>
      <c r="U59" s="244"/>
    </row>
    <row r="60" spans="2:21" ht="12.5">
      <c r="B60" s="145" t="str">
        <f t="shared" si="0"/>
        <v/>
      </c>
      <c r="C60" s="496">
        <f>IF(D11="","-",+C59+1)</f>
        <v>2057</v>
      </c>
      <c r="D60" s="509">
        <f>IF(F59+SUM(E$17:E59)=D$10,F59,D$10-SUM(E$17:E59))</f>
        <v>0</v>
      </c>
      <c r="E60" s="510">
        <f t="shared" si="19"/>
        <v>0</v>
      </c>
      <c r="F60" s="511">
        <f t="shared" si="20"/>
        <v>0</v>
      </c>
      <c r="G60" s="512">
        <f t="shared" si="21"/>
        <v>0</v>
      </c>
      <c r="H60" s="478">
        <f t="shared" si="22"/>
        <v>0</v>
      </c>
      <c r="I60" s="501">
        <f t="shared" si="6"/>
        <v>0</v>
      </c>
      <c r="J60" s="501"/>
      <c r="K60" s="513"/>
      <c r="L60" s="505">
        <f t="shared" si="23"/>
        <v>0</v>
      </c>
      <c r="M60" s="513"/>
      <c r="N60" s="505">
        <f t="shared" si="4"/>
        <v>0</v>
      </c>
      <c r="O60" s="505">
        <f t="shared" si="5"/>
        <v>0</v>
      </c>
      <c r="P60" s="279"/>
      <c r="R60" s="244"/>
      <c r="S60" s="244"/>
      <c r="T60" s="244"/>
      <c r="U60" s="244"/>
    </row>
    <row r="61" spans="2:21" ht="12.5">
      <c r="B61" s="145" t="str">
        <f t="shared" si="0"/>
        <v/>
      </c>
      <c r="C61" s="496">
        <f>IF(D11="","-",+C60+1)</f>
        <v>2058</v>
      </c>
      <c r="D61" s="509">
        <f>IF(F60+SUM(E$17:E60)=D$10,F60,D$10-SUM(E$17:E60))</f>
        <v>0</v>
      </c>
      <c r="E61" s="510">
        <f t="shared" si="19"/>
        <v>0</v>
      </c>
      <c r="F61" s="511">
        <f t="shared" si="20"/>
        <v>0</v>
      </c>
      <c r="G61" s="512">
        <f t="shared" si="21"/>
        <v>0</v>
      </c>
      <c r="H61" s="478">
        <f t="shared" si="22"/>
        <v>0</v>
      </c>
      <c r="I61" s="501">
        <f t="shared" si="6"/>
        <v>0</v>
      </c>
      <c r="J61" s="501"/>
      <c r="K61" s="513"/>
      <c r="L61" s="505">
        <f t="shared" si="23"/>
        <v>0</v>
      </c>
      <c r="M61" s="513"/>
      <c r="N61" s="505">
        <f t="shared" si="4"/>
        <v>0</v>
      </c>
      <c r="O61" s="505">
        <f t="shared" si="5"/>
        <v>0</v>
      </c>
      <c r="P61" s="279"/>
      <c r="R61" s="244"/>
      <c r="S61" s="244"/>
      <c r="T61" s="244"/>
      <c r="U61" s="244"/>
    </row>
    <row r="62" spans="2:21" ht="12.5">
      <c r="B62" s="145" t="str">
        <f t="shared" si="0"/>
        <v/>
      </c>
      <c r="C62" s="496">
        <f>IF(D11="","-",+C61+1)</f>
        <v>2059</v>
      </c>
      <c r="D62" s="509">
        <f>IF(F61+SUM(E$17:E61)=D$10,F61,D$10-SUM(E$17:E61))</f>
        <v>0</v>
      </c>
      <c r="E62" s="510">
        <f t="shared" si="19"/>
        <v>0</v>
      </c>
      <c r="F62" s="511">
        <f t="shared" si="20"/>
        <v>0</v>
      </c>
      <c r="G62" s="512">
        <f t="shared" si="21"/>
        <v>0</v>
      </c>
      <c r="H62" s="478">
        <f t="shared" si="22"/>
        <v>0</v>
      </c>
      <c r="I62" s="501">
        <f t="shared" si="6"/>
        <v>0</v>
      </c>
      <c r="J62" s="501"/>
      <c r="K62" s="513"/>
      <c r="L62" s="505">
        <f t="shared" si="23"/>
        <v>0</v>
      </c>
      <c r="M62" s="513"/>
      <c r="N62" s="505">
        <f t="shared" si="4"/>
        <v>0</v>
      </c>
      <c r="O62" s="505">
        <f t="shared" si="5"/>
        <v>0</v>
      </c>
      <c r="P62" s="279"/>
      <c r="R62" s="244"/>
      <c r="S62" s="244"/>
      <c r="T62" s="244"/>
      <c r="U62" s="244"/>
    </row>
    <row r="63" spans="2:21" ht="12.5">
      <c r="B63" s="145" t="str">
        <f t="shared" si="0"/>
        <v/>
      </c>
      <c r="C63" s="496">
        <f>IF(D11="","-",+C62+1)</f>
        <v>2060</v>
      </c>
      <c r="D63" s="509">
        <f>IF(F62+SUM(E$17:E62)=D$10,F62,D$10-SUM(E$17:E62))</f>
        <v>0</v>
      </c>
      <c r="E63" s="510">
        <f t="shared" si="19"/>
        <v>0</v>
      </c>
      <c r="F63" s="511">
        <f t="shared" si="20"/>
        <v>0</v>
      </c>
      <c r="G63" s="512">
        <f t="shared" si="21"/>
        <v>0</v>
      </c>
      <c r="H63" s="478">
        <f t="shared" si="22"/>
        <v>0</v>
      </c>
      <c r="I63" s="501">
        <f t="shared" si="6"/>
        <v>0</v>
      </c>
      <c r="J63" s="501"/>
      <c r="K63" s="513"/>
      <c r="L63" s="505">
        <f t="shared" si="23"/>
        <v>0</v>
      </c>
      <c r="M63" s="513"/>
      <c r="N63" s="505">
        <f t="shared" si="4"/>
        <v>0</v>
      </c>
      <c r="O63" s="505">
        <f t="shared" si="5"/>
        <v>0</v>
      </c>
      <c r="P63" s="279"/>
      <c r="R63" s="244"/>
      <c r="S63" s="244"/>
      <c r="T63" s="244"/>
      <c r="U63" s="244"/>
    </row>
    <row r="64" spans="2:21" ht="12.5">
      <c r="B64" s="145" t="str">
        <f t="shared" si="0"/>
        <v/>
      </c>
      <c r="C64" s="496">
        <f>IF(D11="","-",+C63+1)</f>
        <v>2061</v>
      </c>
      <c r="D64" s="509">
        <f>IF(F63+SUM(E$17:E63)=D$10,F63,D$10-SUM(E$17:E63))</f>
        <v>0</v>
      </c>
      <c r="E64" s="510">
        <f t="shared" si="19"/>
        <v>0</v>
      </c>
      <c r="F64" s="511">
        <f t="shared" si="20"/>
        <v>0</v>
      </c>
      <c r="G64" s="512">
        <f t="shared" si="21"/>
        <v>0</v>
      </c>
      <c r="H64" s="478">
        <f t="shared" si="22"/>
        <v>0</v>
      </c>
      <c r="I64" s="501">
        <f t="shared" si="6"/>
        <v>0</v>
      </c>
      <c r="J64" s="501"/>
      <c r="K64" s="513"/>
      <c r="L64" s="505">
        <f t="shared" si="23"/>
        <v>0</v>
      </c>
      <c r="M64" s="513"/>
      <c r="N64" s="505">
        <f t="shared" si="4"/>
        <v>0</v>
      </c>
      <c r="O64" s="505">
        <f t="shared" si="5"/>
        <v>0</v>
      </c>
      <c r="P64" s="279"/>
      <c r="R64" s="244"/>
      <c r="S64" s="244"/>
      <c r="T64" s="244"/>
      <c r="U64" s="244"/>
    </row>
    <row r="65" spans="2:21" ht="12.5">
      <c r="B65" s="145" t="str">
        <f t="shared" si="0"/>
        <v/>
      </c>
      <c r="C65" s="496">
        <f>IF(D11="","-",+C64+1)</f>
        <v>2062</v>
      </c>
      <c r="D65" s="509">
        <f>IF(F64+SUM(E$17:E64)=D$10,F64,D$10-SUM(E$17:E64))</f>
        <v>0</v>
      </c>
      <c r="E65" s="510">
        <f t="shared" si="19"/>
        <v>0</v>
      </c>
      <c r="F65" s="511">
        <f t="shared" si="20"/>
        <v>0</v>
      </c>
      <c r="G65" s="512">
        <f t="shared" si="21"/>
        <v>0</v>
      </c>
      <c r="H65" s="478">
        <f t="shared" si="22"/>
        <v>0</v>
      </c>
      <c r="I65" s="501">
        <f t="shared" si="6"/>
        <v>0</v>
      </c>
      <c r="J65" s="501"/>
      <c r="K65" s="513"/>
      <c r="L65" s="505">
        <f t="shared" si="23"/>
        <v>0</v>
      </c>
      <c r="M65" s="513"/>
      <c r="N65" s="505">
        <f t="shared" si="4"/>
        <v>0</v>
      </c>
      <c r="O65" s="505">
        <f t="shared" si="5"/>
        <v>0</v>
      </c>
      <c r="P65" s="279"/>
      <c r="R65" s="244"/>
      <c r="S65" s="244"/>
      <c r="T65" s="244"/>
      <c r="U65" s="244"/>
    </row>
    <row r="66" spans="2:21" ht="12.5">
      <c r="B66" s="145" t="str">
        <f t="shared" si="0"/>
        <v/>
      </c>
      <c r="C66" s="496">
        <f>IF(D11="","-",+C65+1)</f>
        <v>2063</v>
      </c>
      <c r="D66" s="509">
        <f>IF(F65+SUM(E$17:E65)=D$10,F65,D$10-SUM(E$17:E65))</f>
        <v>0</v>
      </c>
      <c r="E66" s="510">
        <f t="shared" si="19"/>
        <v>0</v>
      </c>
      <c r="F66" s="511">
        <f t="shared" si="20"/>
        <v>0</v>
      </c>
      <c r="G66" s="512">
        <f t="shared" si="21"/>
        <v>0</v>
      </c>
      <c r="H66" s="478">
        <f t="shared" si="22"/>
        <v>0</v>
      </c>
      <c r="I66" s="501">
        <f t="shared" si="6"/>
        <v>0</v>
      </c>
      <c r="J66" s="501"/>
      <c r="K66" s="513"/>
      <c r="L66" s="505">
        <f t="shared" si="23"/>
        <v>0</v>
      </c>
      <c r="M66" s="513"/>
      <c r="N66" s="505">
        <f t="shared" si="4"/>
        <v>0</v>
      </c>
      <c r="O66" s="505">
        <f t="shared" si="5"/>
        <v>0</v>
      </c>
      <c r="P66" s="279"/>
      <c r="R66" s="244"/>
      <c r="S66" s="244"/>
      <c r="T66" s="244"/>
      <c r="U66" s="244"/>
    </row>
    <row r="67" spans="2:21" ht="12.5">
      <c r="B67" s="145" t="str">
        <f t="shared" si="0"/>
        <v/>
      </c>
      <c r="C67" s="496">
        <f>IF(D11="","-",+C66+1)</f>
        <v>2064</v>
      </c>
      <c r="D67" s="509">
        <f>IF(F66+SUM(E$17:E66)=D$10,F66,D$10-SUM(E$17:E66))</f>
        <v>0</v>
      </c>
      <c r="E67" s="510">
        <f t="shared" si="19"/>
        <v>0</v>
      </c>
      <c r="F67" s="511">
        <f t="shared" si="20"/>
        <v>0</v>
      </c>
      <c r="G67" s="512">
        <f t="shared" si="21"/>
        <v>0</v>
      </c>
      <c r="H67" s="478">
        <f t="shared" si="22"/>
        <v>0</v>
      </c>
      <c r="I67" s="501">
        <f t="shared" si="6"/>
        <v>0</v>
      </c>
      <c r="J67" s="501"/>
      <c r="K67" s="513"/>
      <c r="L67" s="505">
        <f t="shared" si="23"/>
        <v>0</v>
      </c>
      <c r="M67" s="513"/>
      <c r="N67" s="505">
        <f t="shared" si="4"/>
        <v>0</v>
      </c>
      <c r="O67" s="505">
        <f t="shared" si="5"/>
        <v>0</v>
      </c>
      <c r="P67" s="279"/>
      <c r="R67" s="244"/>
      <c r="S67" s="244"/>
      <c r="T67" s="244"/>
      <c r="U67" s="244"/>
    </row>
    <row r="68" spans="2:21" ht="12.5">
      <c r="B68" s="145" t="str">
        <f t="shared" si="0"/>
        <v/>
      </c>
      <c r="C68" s="496">
        <f>IF(D11="","-",+C67+1)</f>
        <v>2065</v>
      </c>
      <c r="D68" s="509">
        <f>IF(F67+SUM(E$17:E67)=D$10,F67,D$10-SUM(E$17:E67))</f>
        <v>0</v>
      </c>
      <c r="E68" s="510">
        <f t="shared" si="19"/>
        <v>0</v>
      </c>
      <c r="F68" s="511">
        <f t="shared" si="20"/>
        <v>0</v>
      </c>
      <c r="G68" s="512">
        <f t="shared" si="21"/>
        <v>0</v>
      </c>
      <c r="H68" s="478">
        <f t="shared" si="22"/>
        <v>0</v>
      </c>
      <c r="I68" s="501">
        <f t="shared" si="6"/>
        <v>0</v>
      </c>
      <c r="J68" s="501"/>
      <c r="K68" s="513"/>
      <c r="L68" s="505">
        <f t="shared" si="23"/>
        <v>0</v>
      </c>
      <c r="M68" s="513"/>
      <c r="N68" s="505">
        <f t="shared" si="4"/>
        <v>0</v>
      </c>
      <c r="O68" s="505">
        <f t="shared" si="5"/>
        <v>0</v>
      </c>
      <c r="P68" s="279"/>
      <c r="R68" s="244"/>
      <c r="S68" s="244"/>
      <c r="T68" s="244"/>
      <c r="U68" s="244"/>
    </row>
    <row r="69" spans="2:21" ht="12.5">
      <c r="B69" s="145" t="str">
        <f t="shared" si="0"/>
        <v/>
      </c>
      <c r="C69" s="496">
        <f>IF(D11="","-",+C68+1)</f>
        <v>2066</v>
      </c>
      <c r="D69" s="509">
        <f>IF(F68+SUM(E$17:E68)=D$10,F68,D$10-SUM(E$17:E68))</f>
        <v>0</v>
      </c>
      <c r="E69" s="510">
        <f t="shared" si="19"/>
        <v>0</v>
      </c>
      <c r="F69" s="511">
        <f t="shared" si="20"/>
        <v>0</v>
      </c>
      <c r="G69" s="512">
        <f t="shared" si="21"/>
        <v>0</v>
      </c>
      <c r="H69" s="478">
        <f t="shared" si="22"/>
        <v>0</v>
      </c>
      <c r="I69" s="501">
        <f t="shared" si="6"/>
        <v>0</v>
      </c>
      <c r="J69" s="501"/>
      <c r="K69" s="513"/>
      <c r="L69" s="505">
        <f t="shared" si="23"/>
        <v>0</v>
      </c>
      <c r="M69" s="513"/>
      <c r="N69" s="505">
        <f t="shared" si="4"/>
        <v>0</v>
      </c>
      <c r="O69" s="505">
        <f t="shared" si="5"/>
        <v>0</v>
      </c>
      <c r="P69" s="279"/>
      <c r="R69" s="244"/>
      <c r="S69" s="244"/>
      <c r="T69" s="244"/>
      <c r="U69" s="244"/>
    </row>
    <row r="70" spans="2:21" ht="12.5">
      <c r="B70" s="145" t="str">
        <f t="shared" si="0"/>
        <v/>
      </c>
      <c r="C70" s="496">
        <f>IF(D11="","-",+C69+1)</f>
        <v>2067</v>
      </c>
      <c r="D70" s="509">
        <f>IF(F69+SUM(E$17:E69)=D$10,F69,D$10-SUM(E$17:E69))</f>
        <v>0</v>
      </c>
      <c r="E70" s="510">
        <f t="shared" si="19"/>
        <v>0</v>
      </c>
      <c r="F70" s="511">
        <f t="shared" si="20"/>
        <v>0</v>
      </c>
      <c r="G70" s="512">
        <f t="shared" si="21"/>
        <v>0</v>
      </c>
      <c r="H70" s="478">
        <f t="shared" si="22"/>
        <v>0</v>
      </c>
      <c r="I70" s="501">
        <f t="shared" si="6"/>
        <v>0</v>
      </c>
      <c r="J70" s="501"/>
      <c r="K70" s="513"/>
      <c r="L70" s="505">
        <f t="shared" si="23"/>
        <v>0</v>
      </c>
      <c r="M70" s="513"/>
      <c r="N70" s="505">
        <f t="shared" si="4"/>
        <v>0</v>
      </c>
      <c r="O70" s="505">
        <f t="shared" si="5"/>
        <v>0</v>
      </c>
      <c r="P70" s="279"/>
      <c r="R70" s="244"/>
      <c r="S70" s="244"/>
      <c r="T70" s="244"/>
      <c r="U70" s="244"/>
    </row>
    <row r="71" spans="2:21" ht="12.5">
      <c r="B71" s="145" t="str">
        <f t="shared" si="0"/>
        <v/>
      </c>
      <c r="C71" s="496">
        <f>IF(D11="","-",+C70+1)</f>
        <v>2068</v>
      </c>
      <c r="D71" s="509">
        <f>IF(F70+SUM(E$17:E70)=D$10,F70,D$10-SUM(E$17:E70))</f>
        <v>0</v>
      </c>
      <c r="E71" s="510">
        <f t="shared" si="19"/>
        <v>0</v>
      </c>
      <c r="F71" s="511">
        <f t="shared" si="20"/>
        <v>0</v>
      </c>
      <c r="G71" s="512">
        <f t="shared" si="21"/>
        <v>0</v>
      </c>
      <c r="H71" s="478">
        <f t="shared" si="22"/>
        <v>0</v>
      </c>
      <c r="I71" s="501">
        <f t="shared" si="6"/>
        <v>0</v>
      </c>
      <c r="J71" s="501"/>
      <c r="K71" s="513"/>
      <c r="L71" s="505">
        <f t="shared" si="23"/>
        <v>0</v>
      </c>
      <c r="M71" s="513"/>
      <c r="N71" s="505">
        <f t="shared" si="4"/>
        <v>0</v>
      </c>
      <c r="O71" s="505">
        <f t="shared" si="5"/>
        <v>0</v>
      </c>
      <c r="P71" s="279"/>
      <c r="R71" s="244"/>
      <c r="S71" s="244"/>
      <c r="T71" s="244"/>
      <c r="U71" s="244"/>
    </row>
    <row r="72" spans="2:21" ht="12.5">
      <c r="B72" s="145" t="str">
        <f t="shared" si="0"/>
        <v/>
      </c>
      <c r="C72" s="496">
        <f>IF(D11="","-",+C71+1)</f>
        <v>2069</v>
      </c>
      <c r="D72" s="509">
        <f>IF(F71+SUM(E$17:E71)=D$10,F71,D$10-SUM(E$17:E71))</f>
        <v>0</v>
      </c>
      <c r="E72" s="510">
        <f t="shared" si="19"/>
        <v>0</v>
      </c>
      <c r="F72" s="511">
        <f t="shared" si="20"/>
        <v>0</v>
      </c>
      <c r="G72" s="512">
        <f t="shared" si="21"/>
        <v>0</v>
      </c>
      <c r="H72" s="478">
        <f t="shared" si="22"/>
        <v>0</v>
      </c>
      <c r="I72" s="501">
        <f t="shared" si="6"/>
        <v>0</v>
      </c>
      <c r="J72" s="501"/>
      <c r="K72" s="513"/>
      <c r="L72" s="505">
        <f t="shared" si="23"/>
        <v>0</v>
      </c>
      <c r="M72" s="513"/>
      <c r="N72" s="505">
        <f t="shared" si="4"/>
        <v>0</v>
      </c>
      <c r="O72" s="505">
        <f t="shared" si="5"/>
        <v>0</v>
      </c>
      <c r="P72" s="279"/>
      <c r="R72" s="244"/>
      <c r="S72" s="244"/>
      <c r="T72" s="244"/>
      <c r="U72" s="244"/>
    </row>
    <row r="73" spans="2:21" ht="13" thickBot="1">
      <c r="B73" s="145" t="str">
        <f t="shared" si="0"/>
        <v/>
      </c>
      <c r="C73" s="525">
        <f>IF(D11="","-",+C72+1)</f>
        <v>2070</v>
      </c>
      <c r="D73" s="526">
        <f>IF(F72+SUM(E$17:E72)=D$10,F72,D$10-SUM(E$17:E72))</f>
        <v>0</v>
      </c>
      <c r="E73" s="527">
        <f t="shared" si="19"/>
        <v>0</v>
      </c>
      <c r="F73" s="528">
        <f t="shared" si="20"/>
        <v>0</v>
      </c>
      <c r="G73" s="528">
        <f t="shared" si="21"/>
        <v>0</v>
      </c>
      <c r="H73" s="528">
        <f t="shared" si="22"/>
        <v>0</v>
      </c>
      <c r="I73" s="530">
        <f t="shared" si="6"/>
        <v>0</v>
      </c>
      <c r="J73" s="501"/>
      <c r="K73" s="531"/>
      <c r="L73" s="532">
        <f t="shared" si="23"/>
        <v>0</v>
      </c>
      <c r="M73" s="531"/>
      <c r="N73" s="532">
        <f t="shared" si="4"/>
        <v>0</v>
      </c>
      <c r="O73" s="532">
        <f t="shared" si="5"/>
        <v>0</v>
      </c>
      <c r="P73" s="279"/>
      <c r="R73" s="244"/>
      <c r="S73" s="244"/>
      <c r="T73" s="244"/>
      <c r="U73" s="244"/>
    </row>
    <row r="74" spans="2:21" ht="12.5">
      <c r="C74" s="350" t="s">
        <v>75</v>
      </c>
      <c r="D74" s="295"/>
      <c r="E74" s="295">
        <f>SUM(E17:E73)</f>
        <v>13254469.999999996</v>
      </c>
      <c r="F74" s="295"/>
      <c r="G74" s="295">
        <f>SUM(G17:G73)</f>
        <v>40114536.435753047</v>
      </c>
      <c r="H74" s="295">
        <f>SUM(H17:H73)</f>
        <v>40114536.435753047</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12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1604555.7292482569</v>
      </c>
      <c r="N88" s="545">
        <f>IF(J93&lt;D11,0,VLOOKUP(J93,C17:O73,11))</f>
        <v>1604555.7292482569</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1753789.7744381162</v>
      </c>
      <c r="N89" s="549">
        <f>IF(J93&lt;D11,0,VLOOKUP(J93,C100:P155,7))</f>
        <v>1753789.7744381162</v>
      </c>
      <c r="O89" s="550">
        <f>+N89-M89</f>
        <v>0</v>
      </c>
      <c r="P89" s="244"/>
      <c r="Q89" s="244"/>
      <c r="R89" s="244"/>
      <c r="S89" s="244"/>
      <c r="T89" s="244"/>
      <c r="U89" s="244"/>
    </row>
    <row r="90" spans="1:21" ht="13.5" thickBot="1">
      <c r="C90" s="455" t="s">
        <v>82</v>
      </c>
      <c r="D90" s="551" t="str">
        <f>+D7</f>
        <v>Darlington-Red Rock 138 kV line</v>
      </c>
      <c r="E90" s="244"/>
      <c r="F90" s="244"/>
      <c r="G90" s="244"/>
      <c r="H90" s="244"/>
      <c r="I90" s="326"/>
      <c r="J90" s="326"/>
      <c r="K90" s="552"/>
      <c r="L90" s="553" t="s">
        <v>135</v>
      </c>
      <c r="M90" s="554">
        <f>+M89-M88</f>
        <v>149234.04518985935</v>
      </c>
      <c r="N90" s="554">
        <f>+N89-N88</f>
        <v>149234.04518985935</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TP2012112</v>
      </c>
      <c r="E92" s="559"/>
      <c r="F92" s="559"/>
      <c r="G92" s="559"/>
      <c r="H92" s="559"/>
      <c r="I92" s="559"/>
      <c r="J92" s="559"/>
      <c r="K92" s="561"/>
      <c r="P92" s="469"/>
      <c r="Q92" s="244"/>
      <c r="R92" s="244"/>
      <c r="S92" s="244"/>
      <c r="T92" s="244"/>
      <c r="U92" s="244"/>
    </row>
    <row r="93" spans="1:21" ht="13">
      <c r="C93" s="473" t="s">
        <v>49</v>
      </c>
      <c r="D93" s="623">
        <f>D10</f>
        <v>13254470</v>
      </c>
      <c r="E93" s="249" t="s">
        <v>84</v>
      </c>
      <c r="H93" s="409"/>
      <c r="I93" s="409"/>
      <c r="J93" s="472">
        <f>+'OKT.WS.G.BPU.ATRR.True-up'!M16</f>
        <v>2023</v>
      </c>
      <c r="K93" s="468"/>
      <c r="L93" s="295" t="s">
        <v>85</v>
      </c>
      <c r="P93" s="279"/>
      <c r="Q93" s="244"/>
      <c r="R93" s="244"/>
      <c r="S93" s="244"/>
      <c r="T93" s="244"/>
      <c r="U93" s="244"/>
    </row>
    <row r="94" spans="1:21" ht="12.5">
      <c r="C94" s="473" t="s">
        <v>52</v>
      </c>
      <c r="D94" s="562">
        <f>D11</f>
        <v>2014</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4</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697603.68421052629</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2014</v>
      </c>
      <c r="D100" s="350"/>
      <c r="E100" s="512"/>
      <c r="F100" s="511"/>
      <c r="G100" s="606"/>
      <c r="H100" s="606"/>
      <c r="I100" s="606"/>
      <c r="J100" s="505"/>
      <c r="K100" s="505"/>
      <c r="L100" s="502"/>
      <c r="M100" s="503">
        <f t="shared" ref="M100:M131" si="24">IF(L100&lt;&gt;0,+H100-L100,0)</f>
        <v>0</v>
      </c>
      <c r="N100" s="502"/>
      <c r="O100" s="504">
        <f t="shared" ref="O100:O131" si="25">IF(N100&lt;&gt;0,+I100-N100,0)</f>
        <v>0</v>
      </c>
      <c r="P100" s="504">
        <f t="shared" ref="P100:P131" si="26">+O100-M100</f>
        <v>0</v>
      </c>
      <c r="Q100" s="244"/>
      <c r="R100" s="244"/>
      <c r="S100" s="244"/>
      <c r="T100" s="244"/>
      <c r="U100" s="244"/>
    </row>
    <row r="101" spans="1:21" ht="12.5">
      <c r="C101" s="496">
        <f>IF(D94="","-",+C100+1)</f>
        <v>2015</v>
      </c>
      <c r="D101" s="497">
        <v>12986963.014521964</v>
      </c>
      <c r="E101" s="499">
        <v>276134.79166666669</v>
      </c>
      <c r="F101" s="506">
        <v>12710828.222855298</v>
      </c>
      <c r="G101" s="506">
        <v>12848895.618688632</v>
      </c>
      <c r="H101" s="499">
        <v>1706594.9989443137</v>
      </c>
      <c r="I101" s="500">
        <v>1706594.9989443137</v>
      </c>
      <c r="J101" s="505"/>
      <c r="K101" s="505"/>
      <c r="L101" s="507">
        <f t="shared" ref="L101:L106" si="27">H101</f>
        <v>1706594.9989443137</v>
      </c>
      <c r="M101" s="505">
        <f t="shared" ref="M101:M106" si="28">IF(L101&lt;&gt;0,+H101-L101,0)</f>
        <v>0</v>
      </c>
      <c r="N101" s="507">
        <f t="shared" ref="N101:N106" si="29">I101</f>
        <v>1706594.9989443137</v>
      </c>
      <c r="O101" s="505">
        <f t="shared" si="25"/>
        <v>0</v>
      </c>
      <c r="P101" s="505">
        <f t="shared" si="26"/>
        <v>0</v>
      </c>
      <c r="Q101" s="244"/>
      <c r="R101" s="244"/>
      <c r="S101" s="244"/>
      <c r="T101" s="244"/>
      <c r="U101" s="244"/>
    </row>
    <row r="102" spans="1:21" ht="12.5">
      <c r="B102" s="145" t="str">
        <f t="shared" ref="B102:B155" si="30">IF(D102=F101,"","IU")</f>
        <v>IU</v>
      </c>
      <c r="C102" s="496">
        <f>IF(D94="","-",+C101+1)</f>
        <v>2016</v>
      </c>
      <c r="D102" s="497">
        <v>12978335.208333334</v>
      </c>
      <c r="E102" s="499">
        <v>259891.56862745099</v>
      </c>
      <c r="F102" s="506">
        <v>12718443.639705883</v>
      </c>
      <c r="G102" s="506">
        <v>12848389.424019609</v>
      </c>
      <c r="H102" s="499">
        <v>1652264.5848598198</v>
      </c>
      <c r="I102" s="500">
        <v>1652264.5848598198</v>
      </c>
      <c r="J102" s="505">
        <v>0</v>
      </c>
      <c r="K102" s="505"/>
      <c r="L102" s="507">
        <f t="shared" si="27"/>
        <v>1652264.5848598198</v>
      </c>
      <c r="M102" s="505">
        <f t="shared" si="28"/>
        <v>0</v>
      </c>
      <c r="N102" s="507">
        <f t="shared" si="29"/>
        <v>1652264.5848598198</v>
      </c>
      <c r="O102" s="505">
        <f t="shared" si="25"/>
        <v>0</v>
      </c>
      <c r="P102" s="505">
        <f t="shared" si="26"/>
        <v>0</v>
      </c>
      <c r="Q102" s="244"/>
      <c r="R102" s="244"/>
      <c r="S102" s="244"/>
      <c r="T102" s="244"/>
      <c r="U102" s="244"/>
    </row>
    <row r="103" spans="1:21" ht="12.5">
      <c r="B103" s="145" t="str">
        <f t="shared" si="30"/>
        <v/>
      </c>
      <c r="C103" s="496">
        <f>IF(D94="","-",+C102+1)</f>
        <v>2017</v>
      </c>
      <c r="D103" s="497">
        <v>12718443.639705883</v>
      </c>
      <c r="E103" s="499">
        <v>331361.75</v>
      </c>
      <c r="F103" s="506">
        <v>12387081.889705883</v>
      </c>
      <c r="G103" s="506">
        <v>12552762.764705883</v>
      </c>
      <c r="H103" s="499">
        <v>1804251.0172391555</v>
      </c>
      <c r="I103" s="500">
        <v>1804251.0172391555</v>
      </c>
      <c r="J103" s="505">
        <f>+I103-H103</f>
        <v>0</v>
      </c>
      <c r="K103" s="505"/>
      <c r="L103" s="507">
        <f t="shared" si="27"/>
        <v>1804251.0172391555</v>
      </c>
      <c r="M103" s="505">
        <f t="shared" si="28"/>
        <v>0</v>
      </c>
      <c r="N103" s="507">
        <f t="shared" si="29"/>
        <v>1804251.0172391555</v>
      </c>
      <c r="O103" s="505">
        <f>IF(N103&lt;&gt;0,+I103-N103,0)</f>
        <v>0</v>
      </c>
      <c r="P103" s="505">
        <f>+O103-M103</f>
        <v>0</v>
      </c>
      <c r="Q103" s="244"/>
      <c r="R103" s="244"/>
      <c r="S103" s="244"/>
      <c r="T103" s="244"/>
      <c r="U103" s="244"/>
    </row>
    <row r="104" spans="1:21" ht="12.5">
      <c r="B104" s="145" t="str">
        <f t="shared" si="30"/>
        <v/>
      </c>
      <c r="C104" s="496">
        <f>IF(D94="","-",+C103+1)</f>
        <v>2018</v>
      </c>
      <c r="D104" s="497">
        <v>12387081.889705883</v>
      </c>
      <c r="E104" s="499">
        <v>368179.72222222225</v>
      </c>
      <c r="F104" s="506">
        <v>12018902.167483661</v>
      </c>
      <c r="G104" s="506">
        <v>12202992.028594773</v>
      </c>
      <c r="H104" s="499">
        <v>1656357.447097271</v>
      </c>
      <c r="I104" s="500">
        <v>1656357.447097271</v>
      </c>
      <c r="J104" s="505">
        <v>0</v>
      </c>
      <c r="K104" s="505"/>
      <c r="L104" s="507">
        <f t="shared" si="27"/>
        <v>1656357.447097271</v>
      </c>
      <c r="M104" s="505">
        <f t="shared" si="28"/>
        <v>0</v>
      </c>
      <c r="N104" s="507">
        <f t="shared" si="29"/>
        <v>1656357.447097271</v>
      </c>
      <c r="O104" s="505">
        <f>IF(N104&lt;&gt;0,+I104-N104,0)</f>
        <v>0</v>
      </c>
      <c r="P104" s="505">
        <f>+O104-M104</f>
        <v>0</v>
      </c>
      <c r="Q104" s="244"/>
      <c r="R104" s="244"/>
      <c r="S104" s="244"/>
      <c r="T104" s="244"/>
      <c r="U104" s="244"/>
    </row>
    <row r="105" spans="1:21" ht="12.5">
      <c r="B105" s="145" t="str">
        <f t="shared" si="30"/>
        <v/>
      </c>
      <c r="C105" s="496">
        <f>IF(D94="","-",+C104+1)</f>
        <v>2019</v>
      </c>
      <c r="D105" s="497">
        <v>12018902.167483661</v>
      </c>
      <c r="E105" s="499">
        <v>401650.60606060608</v>
      </c>
      <c r="F105" s="506">
        <v>11617251.561423056</v>
      </c>
      <c r="G105" s="506">
        <v>11818076.864453359</v>
      </c>
      <c r="H105" s="499">
        <v>1678111.9401217271</v>
      </c>
      <c r="I105" s="500">
        <v>1678111.9401217271</v>
      </c>
      <c r="J105" s="505">
        <f t="shared" ref="J105:J155" si="31">+I105-H105</f>
        <v>0</v>
      </c>
      <c r="K105" s="505"/>
      <c r="L105" s="507">
        <f t="shared" si="27"/>
        <v>1678111.9401217271</v>
      </c>
      <c r="M105" s="505">
        <f t="shared" si="28"/>
        <v>0</v>
      </c>
      <c r="N105" s="507">
        <f t="shared" si="29"/>
        <v>1678111.9401217271</v>
      </c>
      <c r="O105" s="505">
        <f>IF(N105&lt;&gt;0,+I105-N105,0)</f>
        <v>0</v>
      </c>
      <c r="P105" s="505">
        <f>+O105-M105</f>
        <v>0</v>
      </c>
      <c r="Q105" s="244"/>
      <c r="R105" s="244"/>
      <c r="S105" s="244"/>
      <c r="T105" s="244"/>
      <c r="U105" s="244"/>
    </row>
    <row r="106" spans="1:21" ht="12.5">
      <c r="B106" s="145" t="str">
        <f t="shared" si="30"/>
        <v>IU</v>
      </c>
      <c r="C106" s="496">
        <f>IF(D94="","-",+C105+1)</f>
        <v>2020</v>
      </c>
      <c r="D106" s="497">
        <v>12018902.167483661</v>
      </c>
      <c r="E106" s="499">
        <v>473373.92857142858</v>
      </c>
      <c r="F106" s="506">
        <v>11545528.238912232</v>
      </c>
      <c r="G106" s="506">
        <v>11782215.203197947</v>
      </c>
      <c r="H106" s="499">
        <v>1727160.6739647929</v>
      </c>
      <c r="I106" s="500">
        <v>1727160.6739647929</v>
      </c>
      <c r="J106" s="505">
        <f t="shared" si="31"/>
        <v>0</v>
      </c>
      <c r="K106" s="505"/>
      <c r="L106" s="507">
        <f t="shared" si="27"/>
        <v>1727160.6739647929</v>
      </c>
      <c r="M106" s="505">
        <f t="shared" si="28"/>
        <v>0</v>
      </c>
      <c r="N106" s="507">
        <f t="shared" si="29"/>
        <v>1727160.6739647929</v>
      </c>
      <c r="O106" s="505">
        <f t="shared" si="25"/>
        <v>0</v>
      </c>
      <c r="P106" s="505">
        <f t="shared" si="26"/>
        <v>0</v>
      </c>
      <c r="Q106" s="244"/>
      <c r="R106" s="244"/>
      <c r="S106" s="244"/>
      <c r="T106" s="244"/>
      <c r="U106" s="244"/>
    </row>
    <row r="107" spans="1:21" ht="12.5">
      <c r="B107" s="145" t="str">
        <f t="shared" si="30"/>
        <v>IU</v>
      </c>
      <c r="C107" s="496">
        <f>IF(D94="","-",+C106+1)</f>
        <v>2021</v>
      </c>
      <c r="D107" s="497">
        <v>11143877.632851625</v>
      </c>
      <c r="E107" s="499">
        <v>530178.80000000005</v>
      </c>
      <c r="F107" s="506">
        <v>10613698.832851624</v>
      </c>
      <c r="G107" s="506">
        <v>10878788.232851624</v>
      </c>
      <c r="H107" s="499">
        <v>1813462.5604316716</v>
      </c>
      <c r="I107" s="500">
        <v>1813462.5604316716</v>
      </c>
      <c r="J107" s="505">
        <f t="shared" si="31"/>
        <v>0</v>
      </c>
      <c r="K107" s="505"/>
      <c r="L107" s="507">
        <f t="shared" ref="L107" si="32">H107</f>
        <v>1813462.5604316716</v>
      </c>
      <c r="M107" s="505">
        <f t="shared" ref="M107" si="33">IF(L107&lt;&gt;0,+H107-L107,0)</f>
        <v>0</v>
      </c>
      <c r="N107" s="507">
        <f t="shared" ref="N107" si="34">I107</f>
        <v>1813462.5604316716</v>
      </c>
      <c r="O107" s="505">
        <f t="shared" si="25"/>
        <v>0</v>
      </c>
      <c r="P107" s="505">
        <f t="shared" si="26"/>
        <v>0</v>
      </c>
      <c r="Q107" s="244"/>
      <c r="R107" s="244"/>
      <c r="S107" s="244"/>
      <c r="T107" s="244"/>
      <c r="U107" s="244"/>
    </row>
    <row r="108" spans="1:21" ht="12.5">
      <c r="B108" s="145" t="str">
        <f t="shared" si="30"/>
        <v/>
      </c>
      <c r="C108" s="496">
        <f>IF(D94="","-",+C107+1)</f>
        <v>2022</v>
      </c>
      <c r="D108" s="497">
        <v>10613698.832851624</v>
      </c>
      <c r="E108" s="499">
        <v>631165.23809523811</v>
      </c>
      <c r="F108" s="506">
        <v>9982533.5947563853</v>
      </c>
      <c r="G108" s="506">
        <v>10298116.213804005</v>
      </c>
      <c r="H108" s="499">
        <v>1815098.6314684972</v>
      </c>
      <c r="I108" s="500">
        <v>1815098.6314684972</v>
      </c>
      <c r="J108" s="505">
        <f t="shared" si="31"/>
        <v>0</v>
      </c>
      <c r="K108" s="505"/>
      <c r="L108" s="507">
        <f t="shared" ref="L108" si="35">H108</f>
        <v>1815098.6314684972</v>
      </c>
      <c r="M108" s="505">
        <f t="shared" ref="M108" si="36">IF(L108&lt;&gt;0,+H108-L108,0)</f>
        <v>0</v>
      </c>
      <c r="N108" s="507">
        <f t="shared" ref="N108" si="37">I108</f>
        <v>1815098.6314684972</v>
      </c>
      <c r="O108" s="505">
        <f t="shared" ref="O108" si="38">IF(N108&lt;&gt;0,+I108-N108,0)</f>
        <v>0</v>
      </c>
      <c r="P108" s="505">
        <f t="shared" ref="P108" si="39">+O108-M108</f>
        <v>0</v>
      </c>
      <c r="Q108" s="244"/>
      <c r="R108" s="244"/>
      <c r="S108" s="244"/>
      <c r="T108" s="244"/>
      <c r="U108" s="244"/>
    </row>
    <row r="109" spans="1:21" ht="12.5">
      <c r="B109" s="145" t="str">
        <f t="shared" si="30"/>
        <v/>
      </c>
      <c r="C109" s="496">
        <f>IF(D94="","-",+C108+1)</f>
        <v>2023</v>
      </c>
      <c r="D109" s="350">
        <f>IF(F108+SUM(E$100:E108)=D$93,F108,D$93-SUM(E$100:E108))</f>
        <v>9982533.5947563853</v>
      </c>
      <c r="E109" s="629">
        <f t="shared" ref="E109:E155" si="40">IF(+$J$97&lt;F108,$J$97,D109)</f>
        <v>697603.68421052629</v>
      </c>
      <c r="F109" s="511">
        <f t="shared" ref="F109:F155" si="41">+D109-E109</f>
        <v>9284929.9105458595</v>
      </c>
      <c r="G109" s="511">
        <f t="shared" ref="G109:G155" si="42">+(F109+D109)/2</f>
        <v>9633731.7526511215</v>
      </c>
      <c r="H109" s="645">
        <f t="shared" ref="H109:H155" si="43">(D109+F109)/2*J$95+E109</f>
        <v>1753789.7744381162</v>
      </c>
      <c r="I109" s="630">
        <f t="shared" ref="I109:I155" si="44">+J$96*G109+E109</f>
        <v>1753789.7744381162</v>
      </c>
      <c r="J109" s="505">
        <f t="shared" si="31"/>
        <v>0</v>
      </c>
      <c r="K109" s="505"/>
      <c r="L109" s="513"/>
      <c r="M109" s="505">
        <f t="shared" si="24"/>
        <v>0</v>
      </c>
      <c r="N109" s="513"/>
      <c r="O109" s="505">
        <f t="shared" si="25"/>
        <v>0</v>
      </c>
      <c r="P109" s="505">
        <f t="shared" si="26"/>
        <v>0</v>
      </c>
      <c r="Q109" s="244"/>
      <c r="R109" s="244"/>
      <c r="S109" s="244"/>
      <c r="T109" s="244"/>
      <c r="U109" s="244"/>
    </row>
    <row r="110" spans="1:21" ht="12.5">
      <c r="B110" s="145" t="str">
        <f t="shared" si="30"/>
        <v/>
      </c>
      <c r="C110" s="496">
        <f>IF(D94="","-",+C109+1)</f>
        <v>2024</v>
      </c>
      <c r="D110" s="350">
        <f>IF(F109+SUM(E$100:E109)=D$93,F109,D$93-SUM(E$100:E109))</f>
        <v>9284929.9105458595</v>
      </c>
      <c r="E110" s="629">
        <f t="shared" si="40"/>
        <v>697603.68421052629</v>
      </c>
      <c r="F110" s="511">
        <f t="shared" si="41"/>
        <v>8587326.2263353337</v>
      </c>
      <c r="G110" s="511">
        <f t="shared" si="42"/>
        <v>8936128.0684405975</v>
      </c>
      <c r="H110" s="645">
        <f t="shared" si="43"/>
        <v>1677308.5803720769</v>
      </c>
      <c r="I110" s="630">
        <f t="shared" si="44"/>
        <v>1677308.5803720769</v>
      </c>
      <c r="J110" s="505">
        <f t="shared" si="31"/>
        <v>0</v>
      </c>
      <c r="K110" s="505"/>
      <c r="L110" s="513"/>
      <c r="M110" s="505">
        <f t="shared" si="24"/>
        <v>0</v>
      </c>
      <c r="N110" s="513"/>
      <c r="O110" s="505">
        <f t="shared" si="25"/>
        <v>0</v>
      </c>
      <c r="P110" s="505">
        <f t="shared" si="26"/>
        <v>0</v>
      </c>
      <c r="Q110" s="244"/>
      <c r="R110" s="244"/>
      <c r="S110" s="244"/>
      <c r="T110" s="244"/>
      <c r="U110" s="244"/>
    </row>
    <row r="111" spans="1:21" ht="12.5">
      <c r="B111" s="145" t="str">
        <f t="shared" si="30"/>
        <v/>
      </c>
      <c r="C111" s="496">
        <f>IF(D94="","-",+C110+1)</f>
        <v>2025</v>
      </c>
      <c r="D111" s="350">
        <f>IF(F110+SUM(E$100:E110)=D$93,F110,D$93-SUM(E$100:E110))</f>
        <v>8587326.2263353337</v>
      </c>
      <c r="E111" s="629">
        <f t="shared" si="40"/>
        <v>697603.68421052629</v>
      </c>
      <c r="F111" s="511">
        <f t="shared" si="41"/>
        <v>7889722.5421248078</v>
      </c>
      <c r="G111" s="511">
        <f t="shared" si="42"/>
        <v>8238524.3842300707</v>
      </c>
      <c r="H111" s="645">
        <f t="shared" si="43"/>
        <v>1600827.3863060372</v>
      </c>
      <c r="I111" s="630">
        <f t="shared" si="44"/>
        <v>1600827.3863060372</v>
      </c>
      <c r="J111" s="505">
        <f t="shared" si="31"/>
        <v>0</v>
      </c>
      <c r="K111" s="505"/>
      <c r="L111" s="513"/>
      <c r="M111" s="505">
        <f t="shared" si="24"/>
        <v>0</v>
      </c>
      <c r="N111" s="513"/>
      <c r="O111" s="505">
        <f t="shared" si="25"/>
        <v>0</v>
      </c>
      <c r="P111" s="505">
        <f t="shared" si="26"/>
        <v>0</v>
      </c>
      <c r="Q111" s="244"/>
      <c r="R111" s="244"/>
      <c r="S111" s="244"/>
      <c r="T111" s="244"/>
      <c r="U111" s="244"/>
    </row>
    <row r="112" spans="1:21" ht="12.5">
      <c r="B112" s="145" t="str">
        <f t="shared" si="30"/>
        <v/>
      </c>
      <c r="C112" s="496">
        <f>IF(D94="","-",+C111+1)</f>
        <v>2026</v>
      </c>
      <c r="D112" s="350">
        <f>IF(F111+SUM(E$100:E111)=D$93,F111,D$93-SUM(E$100:E111))</f>
        <v>7889722.5421248078</v>
      </c>
      <c r="E112" s="629">
        <f t="shared" si="40"/>
        <v>697603.68421052629</v>
      </c>
      <c r="F112" s="511">
        <f t="shared" si="41"/>
        <v>7192118.857914282</v>
      </c>
      <c r="G112" s="511">
        <f t="shared" si="42"/>
        <v>7540920.7000195449</v>
      </c>
      <c r="H112" s="645">
        <f t="shared" si="43"/>
        <v>1524346.1922399977</v>
      </c>
      <c r="I112" s="630">
        <f t="shared" si="44"/>
        <v>1524346.1922399977</v>
      </c>
      <c r="J112" s="505">
        <f t="shared" si="31"/>
        <v>0</v>
      </c>
      <c r="K112" s="505"/>
      <c r="L112" s="513"/>
      <c r="M112" s="505">
        <f t="shared" si="24"/>
        <v>0</v>
      </c>
      <c r="N112" s="513"/>
      <c r="O112" s="505">
        <f t="shared" si="25"/>
        <v>0</v>
      </c>
      <c r="P112" s="505">
        <f t="shared" si="26"/>
        <v>0</v>
      </c>
      <c r="Q112" s="244"/>
      <c r="R112" s="244"/>
      <c r="S112" s="244"/>
      <c r="T112" s="244"/>
      <c r="U112" s="244"/>
    </row>
    <row r="113" spans="2:21" ht="12.5">
      <c r="B113" s="145" t="str">
        <f t="shared" si="30"/>
        <v/>
      </c>
      <c r="C113" s="496">
        <f>IF(D94="","-",+C112+1)</f>
        <v>2027</v>
      </c>
      <c r="D113" s="350">
        <f>IF(F112+SUM(E$100:E112)=D$93,F112,D$93-SUM(E$100:E112))</f>
        <v>7192118.857914282</v>
      </c>
      <c r="E113" s="629">
        <f t="shared" si="40"/>
        <v>697603.68421052629</v>
      </c>
      <c r="F113" s="511">
        <f t="shared" si="41"/>
        <v>6494515.1737037562</v>
      </c>
      <c r="G113" s="511">
        <f t="shared" si="42"/>
        <v>6843317.0158090191</v>
      </c>
      <c r="H113" s="645">
        <f t="shared" si="43"/>
        <v>1447864.9981739582</v>
      </c>
      <c r="I113" s="630">
        <f t="shared" si="44"/>
        <v>1447864.9981739582</v>
      </c>
      <c r="J113" s="505">
        <f t="shared" si="31"/>
        <v>0</v>
      </c>
      <c r="K113" s="505"/>
      <c r="L113" s="513"/>
      <c r="M113" s="505">
        <f t="shared" si="24"/>
        <v>0</v>
      </c>
      <c r="N113" s="513"/>
      <c r="O113" s="505">
        <f t="shared" si="25"/>
        <v>0</v>
      </c>
      <c r="P113" s="505">
        <f t="shared" si="26"/>
        <v>0</v>
      </c>
      <c r="Q113" s="244"/>
      <c r="R113" s="244"/>
      <c r="S113" s="244"/>
      <c r="T113" s="244"/>
      <c r="U113" s="244"/>
    </row>
    <row r="114" spans="2:21" ht="12.5">
      <c r="B114" s="145" t="str">
        <f t="shared" si="30"/>
        <v/>
      </c>
      <c r="C114" s="496">
        <f>IF(D94="","-",+C113+1)</f>
        <v>2028</v>
      </c>
      <c r="D114" s="350">
        <f>IF(F113+SUM(E$100:E113)=D$93,F113,D$93-SUM(E$100:E113))</f>
        <v>6494515.1737037562</v>
      </c>
      <c r="E114" s="629">
        <f t="shared" si="40"/>
        <v>697603.68421052629</v>
      </c>
      <c r="F114" s="511">
        <f t="shared" si="41"/>
        <v>5796911.4894932304</v>
      </c>
      <c r="G114" s="511">
        <f t="shared" si="42"/>
        <v>6145713.3315984933</v>
      </c>
      <c r="H114" s="645">
        <f t="shared" si="43"/>
        <v>1371383.8041079186</v>
      </c>
      <c r="I114" s="630">
        <f t="shared" si="44"/>
        <v>1371383.8041079186</v>
      </c>
      <c r="J114" s="505">
        <f t="shared" si="31"/>
        <v>0</v>
      </c>
      <c r="K114" s="505"/>
      <c r="L114" s="513"/>
      <c r="M114" s="505">
        <f t="shared" si="24"/>
        <v>0</v>
      </c>
      <c r="N114" s="513"/>
      <c r="O114" s="505">
        <f t="shared" si="25"/>
        <v>0</v>
      </c>
      <c r="P114" s="505">
        <f t="shared" si="26"/>
        <v>0</v>
      </c>
      <c r="Q114" s="244"/>
      <c r="R114" s="244"/>
      <c r="S114" s="244"/>
      <c r="T114" s="244"/>
      <c r="U114" s="244"/>
    </row>
    <row r="115" spans="2:21" ht="12.5">
      <c r="B115" s="145" t="str">
        <f t="shared" si="30"/>
        <v/>
      </c>
      <c r="C115" s="496">
        <f>IF(D94="","-",+C114+1)</f>
        <v>2029</v>
      </c>
      <c r="D115" s="350">
        <f>IF(F114+SUM(E$100:E114)=D$93,F114,D$93-SUM(E$100:E114))</f>
        <v>5796911.4894932304</v>
      </c>
      <c r="E115" s="629">
        <f t="shared" si="40"/>
        <v>697603.68421052629</v>
      </c>
      <c r="F115" s="511">
        <f t="shared" si="41"/>
        <v>5099307.8052827045</v>
      </c>
      <c r="G115" s="511">
        <f t="shared" si="42"/>
        <v>5448109.6473879674</v>
      </c>
      <c r="H115" s="645">
        <f t="shared" si="43"/>
        <v>1294902.6100418791</v>
      </c>
      <c r="I115" s="630">
        <f t="shared" si="44"/>
        <v>1294902.6100418791</v>
      </c>
      <c r="J115" s="505">
        <f t="shared" si="31"/>
        <v>0</v>
      </c>
      <c r="K115" s="505"/>
      <c r="L115" s="513"/>
      <c r="M115" s="505">
        <f t="shared" si="24"/>
        <v>0</v>
      </c>
      <c r="N115" s="513"/>
      <c r="O115" s="505">
        <f t="shared" si="25"/>
        <v>0</v>
      </c>
      <c r="P115" s="505">
        <f t="shared" si="26"/>
        <v>0</v>
      </c>
      <c r="Q115" s="244"/>
      <c r="R115" s="244"/>
      <c r="S115" s="244"/>
      <c r="T115" s="244"/>
      <c r="U115" s="244"/>
    </row>
    <row r="116" spans="2:21" ht="12.5">
      <c r="B116" s="145" t="str">
        <f t="shared" si="30"/>
        <v/>
      </c>
      <c r="C116" s="496">
        <f>IF(D94="","-",+C115+1)</f>
        <v>2030</v>
      </c>
      <c r="D116" s="350">
        <f>IF(F115+SUM(E$100:E115)=D$93,F115,D$93-SUM(E$100:E115))</f>
        <v>5099307.8052827045</v>
      </c>
      <c r="E116" s="629">
        <f t="shared" si="40"/>
        <v>697603.68421052629</v>
      </c>
      <c r="F116" s="511">
        <f t="shared" si="41"/>
        <v>4401704.1210721787</v>
      </c>
      <c r="G116" s="511">
        <f t="shared" si="42"/>
        <v>4750505.9631774416</v>
      </c>
      <c r="H116" s="645">
        <f t="shared" si="43"/>
        <v>1218421.4159758396</v>
      </c>
      <c r="I116" s="630">
        <f t="shared" si="44"/>
        <v>1218421.4159758396</v>
      </c>
      <c r="J116" s="505">
        <f t="shared" si="31"/>
        <v>0</v>
      </c>
      <c r="K116" s="505"/>
      <c r="L116" s="513"/>
      <c r="M116" s="505">
        <f t="shared" si="24"/>
        <v>0</v>
      </c>
      <c r="N116" s="513"/>
      <c r="O116" s="505">
        <f t="shared" si="25"/>
        <v>0</v>
      </c>
      <c r="P116" s="505">
        <f t="shared" si="26"/>
        <v>0</v>
      </c>
      <c r="Q116" s="244"/>
      <c r="R116" s="244"/>
      <c r="S116" s="244"/>
      <c r="T116" s="244"/>
      <c r="U116" s="244"/>
    </row>
    <row r="117" spans="2:21" ht="12.5">
      <c r="B117" s="145" t="str">
        <f t="shared" si="30"/>
        <v/>
      </c>
      <c r="C117" s="496">
        <f>IF(D94="","-",+C116+1)</f>
        <v>2031</v>
      </c>
      <c r="D117" s="350">
        <f>IF(F116+SUM(E$100:E116)=D$93,F116,D$93-SUM(E$100:E116))</f>
        <v>4401704.1210721787</v>
      </c>
      <c r="E117" s="629">
        <f t="shared" si="40"/>
        <v>697603.68421052629</v>
      </c>
      <c r="F117" s="511">
        <f t="shared" si="41"/>
        <v>3704100.4368616524</v>
      </c>
      <c r="G117" s="511">
        <f t="shared" si="42"/>
        <v>4052902.2789669158</v>
      </c>
      <c r="H117" s="645">
        <f t="shared" si="43"/>
        <v>1141940.2219098001</v>
      </c>
      <c r="I117" s="630">
        <f t="shared" si="44"/>
        <v>1141940.2219098001</v>
      </c>
      <c r="J117" s="505">
        <f t="shared" si="31"/>
        <v>0</v>
      </c>
      <c r="K117" s="505"/>
      <c r="L117" s="513"/>
      <c r="M117" s="505">
        <f t="shared" si="24"/>
        <v>0</v>
      </c>
      <c r="N117" s="513"/>
      <c r="O117" s="505">
        <f t="shared" si="25"/>
        <v>0</v>
      </c>
      <c r="P117" s="505">
        <f t="shared" si="26"/>
        <v>0</v>
      </c>
      <c r="Q117" s="244"/>
      <c r="R117" s="244"/>
      <c r="S117" s="244"/>
      <c r="T117" s="244"/>
      <c r="U117" s="244"/>
    </row>
    <row r="118" spans="2:21" ht="12.5">
      <c r="B118" s="145" t="str">
        <f t="shared" si="30"/>
        <v/>
      </c>
      <c r="C118" s="496">
        <f>IF(D94="","-",+C117+1)</f>
        <v>2032</v>
      </c>
      <c r="D118" s="350">
        <f>IF(F117+SUM(E$100:E117)=D$93,F117,D$93-SUM(E$100:E117))</f>
        <v>3704100.4368616524</v>
      </c>
      <c r="E118" s="629">
        <f t="shared" si="40"/>
        <v>697603.68421052629</v>
      </c>
      <c r="F118" s="511">
        <f t="shared" si="41"/>
        <v>3006496.7526511261</v>
      </c>
      <c r="G118" s="511">
        <f t="shared" si="42"/>
        <v>3355298.594756389</v>
      </c>
      <c r="H118" s="645">
        <f t="shared" si="43"/>
        <v>1065459.0278437603</v>
      </c>
      <c r="I118" s="630">
        <f t="shared" si="44"/>
        <v>1065459.0278437603</v>
      </c>
      <c r="J118" s="505">
        <f t="shared" si="31"/>
        <v>0</v>
      </c>
      <c r="K118" s="505"/>
      <c r="L118" s="513"/>
      <c r="M118" s="505">
        <f t="shared" si="24"/>
        <v>0</v>
      </c>
      <c r="N118" s="513"/>
      <c r="O118" s="505">
        <f t="shared" si="25"/>
        <v>0</v>
      </c>
      <c r="P118" s="505">
        <f t="shared" si="26"/>
        <v>0</v>
      </c>
      <c r="Q118" s="244"/>
      <c r="R118" s="244"/>
      <c r="S118" s="244"/>
      <c r="T118" s="244"/>
      <c r="U118" s="244"/>
    </row>
    <row r="119" spans="2:21" ht="12.5">
      <c r="B119" s="145" t="str">
        <f t="shared" si="30"/>
        <v/>
      </c>
      <c r="C119" s="496">
        <f>IF(D94="","-",+C118+1)</f>
        <v>2033</v>
      </c>
      <c r="D119" s="350">
        <f>IF(F118+SUM(E$100:E118)=D$93,F118,D$93-SUM(E$100:E118))</f>
        <v>3006496.7526511261</v>
      </c>
      <c r="E119" s="629">
        <f t="shared" si="40"/>
        <v>697603.68421052629</v>
      </c>
      <c r="F119" s="511">
        <f t="shared" si="41"/>
        <v>2308893.0684405998</v>
      </c>
      <c r="G119" s="511">
        <f t="shared" si="42"/>
        <v>2657694.9105458632</v>
      </c>
      <c r="H119" s="645">
        <f t="shared" si="43"/>
        <v>988977.83377772081</v>
      </c>
      <c r="I119" s="630">
        <f t="shared" si="44"/>
        <v>988977.83377772081</v>
      </c>
      <c r="J119" s="505">
        <f t="shared" si="31"/>
        <v>0</v>
      </c>
      <c r="K119" s="505"/>
      <c r="L119" s="513"/>
      <c r="M119" s="505">
        <f t="shared" si="24"/>
        <v>0</v>
      </c>
      <c r="N119" s="513"/>
      <c r="O119" s="505">
        <f t="shared" si="25"/>
        <v>0</v>
      </c>
      <c r="P119" s="505">
        <f t="shared" si="26"/>
        <v>0</v>
      </c>
      <c r="Q119" s="244"/>
      <c r="R119" s="244"/>
      <c r="S119" s="244"/>
      <c r="T119" s="244"/>
      <c r="U119" s="244"/>
    </row>
    <row r="120" spans="2:21" ht="12.5">
      <c r="B120" s="145" t="str">
        <f t="shared" si="30"/>
        <v/>
      </c>
      <c r="C120" s="496">
        <f>IF(D94="","-",+C119+1)</f>
        <v>2034</v>
      </c>
      <c r="D120" s="350">
        <f>IF(F119+SUM(E$100:E119)=D$93,F119,D$93-SUM(E$100:E119))</f>
        <v>2308893.0684405998</v>
      </c>
      <c r="E120" s="629">
        <f t="shared" si="40"/>
        <v>697603.68421052629</v>
      </c>
      <c r="F120" s="511">
        <f t="shared" si="41"/>
        <v>1611289.3842300735</v>
      </c>
      <c r="G120" s="511">
        <f t="shared" si="42"/>
        <v>1960091.2263353367</v>
      </c>
      <c r="H120" s="645">
        <f t="shared" si="43"/>
        <v>912496.63971168129</v>
      </c>
      <c r="I120" s="630">
        <f t="shared" si="44"/>
        <v>912496.63971168129</v>
      </c>
      <c r="J120" s="505">
        <f t="shared" si="31"/>
        <v>0</v>
      </c>
      <c r="K120" s="505"/>
      <c r="L120" s="513"/>
      <c r="M120" s="505">
        <f t="shared" si="24"/>
        <v>0</v>
      </c>
      <c r="N120" s="513"/>
      <c r="O120" s="505">
        <f t="shared" si="25"/>
        <v>0</v>
      </c>
      <c r="P120" s="505">
        <f t="shared" si="26"/>
        <v>0</v>
      </c>
      <c r="Q120" s="244"/>
      <c r="R120" s="244"/>
      <c r="S120" s="244"/>
      <c r="T120" s="244"/>
      <c r="U120" s="244"/>
    </row>
    <row r="121" spans="2:21" ht="12.5">
      <c r="B121" s="145" t="str">
        <f t="shared" si="30"/>
        <v/>
      </c>
      <c r="C121" s="496">
        <f>IF(D94="","-",+C120+1)</f>
        <v>2035</v>
      </c>
      <c r="D121" s="350">
        <f>IF(F120+SUM(E$100:E120)=D$93,F120,D$93-SUM(E$100:E120))</f>
        <v>1611289.3842300735</v>
      </c>
      <c r="E121" s="629">
        <f t="shared" si="40"/>
        <v>697603.68421052629</v>
      </c>
      <c r="F121" s="511">
        <f t="shared" si="41"/>
        <v>913685.70001954725</v>
      </c>
      <c r="G121" s="511">
        <f t="shared" si="42"/>
        <v>1262487.5421248104</v>
      </c>
      <c r="H121" s="645">
        <f t="shared" si="43"/>
        <v>836015.44564564165</v>
      </c>
      <c r="I121" s="630">
        <f t="shared" si="44"/>
        <v>836015.44564564165</v>
      </c>
      <c r="J121" s="505">
        <f t="shared" si="31"/>
        <v>0</v>
      </c>
      <c r="K121" s="505"/>
      <c r="L121" s="513"/>
      <c r="M121" s="505">
        <f t="shared" si="24"/>
        <v>0</v>
      </c>
      <c r="N121" s="513"/>
      <c r="O121" s="505">
        <f t="shared" si="25"/>
        <v>0</v>
      </c>
      <c r="P121" s="505">
        <f t="shared" si="26"/>
        <v>0</v>
      </c>
      <c r="Q121" s="244"/>
      <c r="R121" s="244"/>
      <c r="S121" s="244"/>
      <c r="T121" s="244"/>
      <c r="U121" s="244"/>
    </row>
    <row r="122" spans="2:21" ht="12.5">
      <c r="B122" s="145" t="str">
        <f t="shared" si="30"/>
        <v/>
      </c>
      <c r="C122" s="496">
        <f>IF(D94="","-",+C121+1)</f>
        <v>2036</v>
      </c>
      <c r="D122" s="350">
        <f>IF(F121+SUM(E$100:E121)=D$93,F121,D$93-SUM(E$100:E121))</f>
        <v>913685.70001954725</v>
      </c>
      <c r="E122" s="629">
        <f t="shared" si="40"/>
        <v>697603.68421052629</v>
      </c>
      <c r="F122" s="511">
        <f t="shared" si="41"/>
        <v>216082.01580902096</v>
      </c>
      <c r="G122" s="511">
        <f t="shared" si="42"/>
        <v>564883.8579142841</v>
      </c>
      <c r="H122" s="645">
        <f t="shared" si="43"/>
        <v>759534.25157960213</v>
      </c>
      <c r="I122" s="630">
        <f t="shared" si="44"/>
        <v>759534.25157960213</v>
      </c>
      <c r="J122" s="505">
        <f t="shared" si="31"/>
        <v>0</v>
      </c>
      <c r="K122" s="505"/>
      <c r="L122" s="513"/>
      <c r="M122" s="505">
        <f t="shared" si="24"/>
        <v>0</v>
      </c>
      <c r="N122" s="513"/>
      <c r="O122" s="505">
        <f t="shared" si="25"/>
        <v>0</v>
      </c>
      <c r="P122" s="505">
        <f t="shared" si="26"/>
        <v>0</v>
      </c>
      <c r="Q122" s="244"/>
      <c r="R122" s="244"/>
      <c r="S122" s="244"/>
      <c r="T122" s="244"/>
      <c r="U122" s="244"/>
    </row>
    <row r="123" spans="2:21" ht="12.5">
      <c r="B123" s="145" t="str">
        <f t="shared" si="30"/>
        <v/>
      </c>
      <c r="C123" s="496">
        <f>IF(D94="","-",+C122+1)</f>
        <v>2037</v>
      </c>
      <c r="D123" s="350">
        <f>IF(F122+SUM(E$100:E122)=D$93,F122,D$93-SUM(E$100:E122))</f>
        <v>216082.01580902096</v>
      </c>
      <c r="E123" s="629">
        <f t="shared" si="40"/>
        <v>216082.01580902096</v>
      </c>
      <c r="F123" s="511">
        <f t="shared" si="41"/>
        <v>0</v>
      </c>
      <c r="G123" s="511">
        <f t="shared" si="42"/>
        <v>108041.00790451048</v>
      </c>
      <c r="H123" s="645">
        <f t="shared" si="43"/>
        <v>227927.00097704897</v>
      </c>
      <c r="I123" s="630">
        <f t="shared" si="44"/>
        <v>227927.00097704897</v>
      </c>
      <c r="J123" s="505">
        <f t="shared" si="31"/>
        <v>0</v>
      </c>
      <c r="K123" s="505"/>
      <c r="L123" s="513"/>
      <c r="M123" s="505">
        <f t="shared" si="24"/>
        <v>0</v>
      </c>
      <c r="N123" s="513"/>
      <c r="O123" s="505">
        <f t="shared" si="25"/>
        <v>0</v>
      </c>
      <c r="P123" s="505">
        <f t="shared" si="26"/>
        <v>0</v>
      </c>
      <c r="Q123" s="244"/>
      <c r="R123" s="244"/>
      <c r="S123" s="244"/>
      <c r="T123" s="244"/>
      <c r="U123" s="244"/>
    </row>
    <row r="124" spans="2:21" ht="12.5">
      <c r="B124" s="145" t="str">
        <f t="shared" si="30"/>
        <v/>
      </c>
      <c r="C124" s="496">
        <f>IF(D94="","-",+C123+1)</f>
        <v>2038</v>
      </c>
      <c r="D124" s="350">
        <f>IF(F123+SUM(E$100:E123)=D$93,F123,D$93-SUM(E$100:E123))</f>
        <v>0</v>
      </c>
      <c r="E124" s="629">
        <f t="shared" si="40"/>
        <v>0</v>
      </c>
      <c r="F124" s="511">
        <f t="shared" si="41"/>
        <v>0</v>
      </c>
      <c r="G124" s="511">
        <f t="shared" si="42"/>
        <v>0</v>
      </c>
      <c r="H124" s="645">
        <f t="shared" si="43"/>
        <v>0</v>
      </c>
      <c r="I124" s="630">
        <f t="shared" si="44"/>
        <v>0</v>
      </c>
      <c r="J124" s="505">
        <f t="shared" si="31"/>
        <v>0</v>
      </c>
      <c r="K124" s="505"/>
      <c r="L124" s="513"/>
      <c r="M124" s="505">
        <f t="shared" si="24"/>
        <v>0</v>
      </c>
      <c r="N124" s="513"/>
      <c r="O124" s="505">
        <f t="shared" si="25"/>
        <v>0</v>
      </c>
      <c r="P124" s="505">
        <f t="shared" si="26"/>
        <v>0</v>
      </c>
      <c r="Q124" s="244"/>
      <c r="R124" s="244"/>
      <c r="S124" s="244"/>
      <c r="T124" s="244"/>
      <c r="U124" s="244"/>
    </row>
    <row r="125" spans="2:21" ht="12.5">
      <c r="B125" s="145" t="str">
        <f t="shared" si="30"/>
        <v/>
      </c>
      <c r="C125" s="496">
        <f>IF(D94="","-",+C124+1)</f>
        <v>2039</v>
      </c>
      <c r="D125" s="350">
        <f>IF(F124+SUM(E$100:E124)=D$93,F124,D$93-SUM(E$100:E124))</f>
        <v>0</v>
      </c>
      <c r="E125" s="629">
        <f t="shared" si="40"/>
        <v>0</v>
      </c>
      <c r="F125" s="511">
        <f t="shared" si="41"/>
        <v>0</v>
      </c>
      <c r="G125" s="511">
        <f t="shared" si="42"/>
        <v>0</v>
      </c>
      <c r="H125" s="645">
        <f t="shared" si="43"/>
        <v>0</v>
      </c>
      <c r="I125" s="630">
        <f t="shared" si="44"/>
        <v>0</v>
      </c>
      <c r="J125" s="505">
        <f t="shared" si="31"/>
        <v>0</v>
      </c>
      <c r="K125" s="505"/>
      <c r="L125" s="513"/>
      <c r="M125" s="505">
        <f t="shared" si="24"/>
        <v>0</v>
      </c>
      <c r="N125" s="513"/>
      <c r="O125" s="505">
        <f t="shared" si="25"/>
        <v>0</v>
      </c>
      <c r="P125" s="505">
        <f t="shared" si="26"/>
        <v>0</v>
      </c>
      <c r="Q125" s="244"/>
      <c r="R125" s="244"/>
      <c r="S125" s="244"/>
      <c r="T125" s="244"/>
      <c r="U125" s="244"/>
    </row>
    <row r="126" spans="2:21" ht="12.5">
      <c r="B126" s="145" t="str">
        <f t="shared" si="30"/>
        <v/>
      </c>
      <c r="C126" s="496">
        <f>IF(D94="","-",+C125+1)</f>
        <v>2040</v>
      </c>
      <c r="D126" s="350">
        <f>IF(F125+SUM(E$100:E125)=D$93,F125,D$93-SUM(E$100:E125))</f>
        <v>0</v>
      </c>
      <c r="E126" s="629">
        <f t="shared" si="40"/>
        <v>0</v>
      </c>
      <c r="F126" s="511">
        <f t="shared" si="41"/>
        <v>0</v>
      </c>
      <c r="G126" s="511">
        <f t="shared" si="42"/>
        <v>0</v>
      </c>
      <c r="H126" s="645">
        <f t="shared" si="43"/>
        <v>0</v>
      </c>
      <c r="I126" s="630">
        <f t="shared" si="44"/>
        <v>0</v>
      </c>
      <c r="J126" s="505">
        <f t="shared" si="31"/>
        <v>0</v>
      </c>
      <c r="K126" s="505"/>
      <c r="L126" s="513"/>
      <c r="M126" s="505">
        <f t="shared" si="24"/>
        <v>0</v>
      </c>
      <c r="N126" s="513"/>
      <c r="O126" s="505">
        <f t="shared" si="25"/>
        <v>0</v>
      </c>
      <c r="P126" s="505">
        <f t="shared" si="26"/>
        <v>0</v>
      </c>
      <c r="Q126" s="244"/>
      <c r="R126" s="244"/>
      <c r="S126" s="244"/>
      <c r="T126" s="244"/>
      <c r="U126" s="244"/>
    </row>
    <row r="127" spans="2:21" ht="12.5">
      <c r="B127" s="145" t="str">
        <f t="shared" si="30"/>
        <v/>
      </c>
      <c r="C127" s="496">
        <f>IF(D94="","-",+C126+1)</f>
        <v>2041</v>
      </c>
      <c r="D127" s="350">
        <f>IF(F126+SUM(E$100:E126)=D$93,F126,D$93-SUM(E$100:E126))</f>
        <v>0</v>
      </c>
      <c r="E127" s="629">
        <f t="shared" si="40"/>
        <v>0</v>
      </c>
      <c r="F127" s="511">
        <f t="shared" si="41"/>
        <v>0</v>
      </c>
      <c r="G127" s="511">
        <f t="shared" si="42"/>
        <v>0</v>
      </c>
      <c r="H127" s="645">
        <f t="shared" si="43"/>
        <v>0</v>
      </c>
      <c r="I127" s="630">
        <f t="shared" si="44"/>
        <v>0</v>
      </c>
      <c r="J127" s="505">
        <f t="shared" si="31"/>
        <v>0</v>
      </c>
      <c r="K127" s="505"/>
      <c r="L127" s="513"/>
      <c r="M127" s="505">
        <f t="shared" si="24"/>
        <v>0</v>
      </c>
      <c r="N127" s="513"/>
      <c r="O127" s="505">
        <f t="shared" si="25"/>
        <v>0</v>
      </c>
      <c r="P127" s="505">
        <f t="shared" si="26"/>
        <v>0</v>
      </c>
      <c r="Q127" s="244"/>
      <c r="R127" s="244"/>
      <c r="S127" s="244"/>
      <c r="T127" s="244"/>
      <c r="U127" s="244"/>
    </row>
    <row r="128" spans="2:21" ht="12.5">
      <c r="B128" s="145" t="str">
        <f t="shared" si="30"/>
        <v/>
      </c>
      <c r="C128" s="496">
        <f>IF(D94="","-",+C127+1)</f>
        <v>2042</v>
      </c>
      <c r="D128" s="350">
        <f>IF(F127+SUM(E$100:E127)=D$93,F127,D$93-SUM(E$100:E127))</f>
        <v>0</v>
      </c>
      <c r="E128" s="629">
        <f t="shared" si="40"/>
        <v>0</v>
      </c>
      <c r="F128" s="511">
        <f t="shared" si="41"/>
        <v>0</v>
      </c>
      <c r="G128" s="511">
        <f t="shared" si="42"/>
        <v>0</v>
      </c>
      <c r="H128" s="645">
        <f t="shared" si="43"/>
        <v>0</v>
      </c>
      <c r="I128" s="630">
        <f t="shared" si="44"/>
        <v>0</v>
      </c>
      <c r="J128" s="505">
        <f t="shared" si="31"/>
        <v>0</v>
      </c>
      <c r="K128" s="505"/>
      <c r="L128" s="513"/>
      <c r="M128" s="505">
        <f t="shared" si="24"/>
        <v>0</v>
      </c>
      <c r="N128" s="513"/>
      <c r="O128" s="505">
        <f t="shared" si="25"/>
        <v>0</v>
      </c>
      <c r="P128" s="505">
        <f t="shared" si="26"/>
        <v>0</v>
      </c>
      <c r="Q128" s="244"/>
      <c r="R128" s="244"/>
      <c r="S128" s="244"/>
      <c r="T128" s="244"/>
      <c r="U128" s="244"/>
    </row>
    <row r="129" spans="2:21" ht="12.5">
      <c r="B129" s="145" t="str">
        <f t="shared" si="30"/>
        <v/>
      </c>
      <c r="C129" s="496">
        <f>IF(D94="","-",+C128+1)</f>
        <v>2043</v>
      </c>
      <c r="D129" s="350">
        <f>IF(F128+SUM(E$100:E128)=D$93,F128,D$93-SUM(E$100:E128))</f>
        <v>0</v>
      </c>
      <c r="E129" s="629">
        <f t="shared" si="40"/>
        <v>0</v>
      </c>
      <c r="F129" s="511">
        <f t="shared" si="41"/>
        <v>0</v>
      </c>
      <c r="G129" s="511">
        <f t="shared" si="42"/>
        <v>0</v>
      </c>
      <c r="H129" s="645">
        <f t="shared" si="43"/>
        <v>0</v>
      </c>
      <c r="I129" s="630">
        <f t="shared" si="44"/>
        <v>0</v>
      </c>
      <c r="J129" s="505">
        <f t="shared" si="31"/>
        <v>0</v>
      </c>
      <c r="K129" s="505"/>
      <c r="L129" s="513"/>
      <c r="M129" s="505">
        <f t="shared" si="24"/>
        <v>0</v>
      </c>
      <c r="N129" s="513"/>
      <c r="O129" s="505">
        <f t="shared" si="25"/>
        <v>0</v>
      </c>
      <c r="P129" s="505">
        <f t="shared" si="26"/>
        <v>0</v>
      </c>
      <c r="Q129" s="244"/>
      <c r="R129" s="244"/>
      <c r="S129" s="244"/>
      <c r="T129" s="244"/>
      <c r="U129" s="244"/>
    </row>
    <row r="130" spans="2:21" ht="12.5">
      <c r="B130" s="145" t="str">
        <f t="shared" si="30"/>
        <v/>
      </c>
      <c r="C130" s="496">
        <f>IF(D94="","-",+C129+1)</f>
        <v>2044</v>
      </c>
      <c r="D130" s="350">
        <f>IF(F129+SUM(E$100:E129)=D$93,F129,D$93-SUM(E$100:E129))</f>
        <v>0</v>
      </c>
      <c r="E130" s="629">
        <f t="shared" si="40"/>
        <v>0</v>
      </c>
      <c r="F130" s="511">
        <f t="shared" si="41"/>
        <v>0</v>
      </c>
      <c r="G130" s="511">
        <f t="shared" si="42"/>
        <v>0</v>
      </c>
      <c r="H130" s="645">
        <f t="shared" si="43"/>
        <v>0</v>
      </c>
      <c r="I130" s="630">
        <f t="shared" si="44"/>
        <v>0</v>
      </c>
      <c r="J130" s="505">
        <f t="shared" si="31"/>
        <v>0</v>
      </c>
      <c r="K130" s="505"/>
      <c r="L130" s="513"/>
      <c r="M130" s="505">
        <f t="shared" si="24"/>
        <v>0</v>
      </c>
      <c r="N130" s="513"/>
      <c r="O130" s="505">
        <f t="shared" si="25"/>
        <v>0</v>
      </c>
      <c r="P130" s="505">
        <f t="shared" si="26"/>
        <v>0</v>
      </c>
      <c r="Q130" s="244"/>
      <c r="R130" s="244"/>
      <c r="S130" s="244"/>
      <c r="T130" s="244"/>
      <c r="U130" s="244"/>
    </row>
    <row r="131" spans="2:21" ht="12.5">
      <c r="B131" s="145" t="str">
        <f t="shared" si="30"/>
        <v/>
      </c>
      <c r="C131" s="496">
        <f>IF(D94="","-",+C130+1)</f>
        <v>2045</v>
      </c>
      <c r="D131" s="350">
        <f>IF(F130+SUM(E$100:E130)=D$93,F130,D$93-SUM(E$100:E130))</f>
        <v>0</v>
      </c>
      <c r="E131" s="629">
        <f t="shared" si="40"/>
        <v>0</v>
      </c>
      <c r="F131" s="511">
        <f t="shared" si="41"/>
        <v>0</v>
      </c>
      <c r="G131" s="511">
        <f t="shared" si="42"/>
        <v>0</v>
      </c>
      <c r="H131" s="645">
        <f t="shared" si="43"/>
        <v>0</v>
      </c>
      <c r="I131" s="630">
        <f t="shared" si="44"/>
        <v>0</v>
      </c>
      <c r="J131" s="505">
        <f t="shared" si="31"/>
        <v>0</v>
      </c>
      <c r="K131" s="505"/>
      <c r="L131" s="513"/>
      <c r="M131" s="505">
        <f t="shared" si="24"/>
        <v>0</v>
      </c>
      <c r="N131" s="513"/>
      <c r="O131" s="505">
        <f t="shared" si="25"/>
        <v>0</v>
      </c>
      <c r="P131" s="505">
        <f t="shared" si="26"/>
        <v>0</v>
      </c>
      <c r="Q131" s="244"/>
      <c r="R131" s="244"/>
      <c r="S131" s="244"/>
      <c r="T131" s="244"/>
      <c r="U131" s="244"/>
    </row>
    <row r="132" spans="2:21" ht="12.5">
      <c r="B132" s="145" t="str">
        <f t="shared" si="30"/>
        <v/>
      </c>
      <c r="C132" s="496">
        <f>IF(D94="","-",+C131+1)</f>
        <v>2046</v>
      </c>
      <c r="D132" s="350">
        <f>IF(F131+SUM(E$100:E131)=D$93,F131,D$93-SUM(E$100:E131))</f>
        <v>0</v>
      </c>
      <c r="E132" s="629">
        <f t="shared" si="40"/>
        <v>0</v>
      </c>
      <c r="F132" s="511">
        <f t="shared" si="41"/>
        <v>0</v>
      </c>
      <c r="G132" s="511">
        <f t="shared" si="42"/>
        <v>0</v>
      </c>
      <c r="H132" s="645">
        <f t="shared" si="43"/>
        <v>0</v>
      </c>
      <c r="I132" s="630">
        <f t="shared" si="44"/>
        <v>0</v>
      </c>
      <c r="J132" s="505">
        <f t="shared" si="31"/>
        <v>0</v>
      </c>
      <c r="K132" s="505"/>
      <c r="L132" s="513"/>
      <c r="M132" s="505">
        <f t="shared" ref="M132:M155" si="45">IF(L542&lt;&gt;0,+H542-L542,0)</f>
        <v>0</v>
      </c>
      <c r="N132" s="513"/>
      <c r="O132" s="505">
        <f t="shared" ref="O132:O155" si="46">IF(N542&lt;&gt;0,+I542-N542,0)</f>
        <v>0</v>
      </c>
      <c r="P132" s="505">
        <f t="shared" ref="P132:P155" si="47">+O542-M542</f>
        <v>0</v>
      </c>
      <c r="Q132" s="244"/>
      <c r="R132" s="244"/>
      <c r="S132" s="244"/>
      <c r="T132" s="244"/>
      <c r="U132" s="244"/>
    </row>
    <row r="133" spans="2:21" ht="12.5">
      <c r="B133" s="145" t="str">
        <f t="shared" si="30"/>
        <v/>
      </c>
      <c r="C133" s="496">
        <f>IF(D94="","-",+C132+1)</f>
        <v>2047</v>
      </c>
      <c r="D133" s="350">
        <f>IF(F132+SUM(E$100:E132)=D$93,F132,D$93-SUM(E$100:E132))</f>
        <v>0</v>
      </c>
      <c r="E133" s="629">
        <f t="shared" si="40"/>
        <v>0</v>
      </c>
      <c r="F133" s="511">
        <f t="shared" si="41"/>
        <v>0</v>
      </c>
      <c r="G133" s="511">
        <f t="shared" si="42"/>
        <v>0</v>
      </c>
      <c r="H133" s="645">
        <f t="shared" si="43"/>
        <v>0</v>
      </c>
      <c r="I133" s="630">
        <f t="shared" si="44"/>
        <v>0</v>
      </c>
      <c r="J133" s="505">
        <f t="shared" si="31"/>
        <v>0</v>
      </c>
      <c r="K133" s="505"/>
      <c r="L133" s="513"/>
      <c r="M133" s="505">
        <f t="shared" si="45"/>
        <v>0</v>
      </c>
      <c r="N133" s="513"/>
      <c r="O133" s="505">
        <f t="shared" si="46"/>
        <v>0</v>
      </c>
      <c r="P133" s="505">
        <f t="shared" si="47"/>
        <v>0</v>
      </c>
      <c r="Q133" s="244"/>
      <c r="R133" s="244"/>
      <c r="S133" s="244"/>
      <c r="T133" s="244"/>
      <c r="U133" s="244"/>
    </row>
    <row r="134" spans="2:21" ht="12.5">
      <c r="B134" s="145" t="str">
        <f t="shared" si="30"/>
        <v/>
      </c>
      <c r="C134" s="496">
        <f>IF(D94="","-",+C133+1)</f>
        <v>2048</v>
      </c>
      <c r="D134" s="350">
        <f>IF(F133+SUM(E$100:E133)=D$93,F133,D$93-SUM(E$100:E133))</f>
        <v>0</v>
      </c>
      <c r="E134" s="629">
        <f t="shared" si="40"/>
        <v>0</v>
      </c>
      <c r="F134" s="511">
        <f t="shared" si="41"/>
        <v>0</v>
      </c>
      <c r="G134" s="511">
        <f t="shared" si="42"/>
        <v>0</v>
      </c>
      <c r="H134" s="645">
        <f t="shared" si="43"/>
        <v>0</v>
      </c>
      <c r="I134" s="630">
        <f t="shared" si="44"/>
        <v>0</v>
      </c>
      <c r="J134" s="505">
        <f t="shared" si="31"/>
        <v>0</v>
      </c>
      <c r="K134" s="505"/>
      <c r="L134" s="513"/>
      <c r="M134" s="505">
        <f t="shared" si="45"/>
        <v>0</v>
      </c>
      <c r="N134" s="513"/>
      <c r="O134" s="505">
        <f t="shared" si="46"/>
        <v>0</v>
      </c>
      <c r="P134" s="505">
        <f t="shared" si="47"/>
        <v>0</v>
      </c>
      <c r="Q134" s="244"/>
      <c r="R134" s="244"/>
      <c r="S134" s="244"/>
      <c r="T134" s="244"/>
      <c r="U134" s="244"/>
    </row>
    <row r="135" spans="2:21" ht="12.5">
      <c r="B135" s="145" t="str">
        <f t="shared" si="30"/>
        <v/>
      </c>
      <c r="C135" s="496">
        <f>IF(D94="","-",+C134+1)</f>
        <v>2049</v>
      </c>
      <c r="D135" s="350">
        <f>IF(F134+SUM(E$100:E134)=D$93,F134,D$93-SUM(E$100:E134))</f>
        <v>0</v>
      </c>
      <c r="E135" s="629">
        <f t="shared" si="40"/>
        <v>0</v>
      </c>
      <c r="F135" s="511">
        <f t="shared" si="41"/>
        <v>0</v>
      </c>
      <c r="G135" s="511">
        <f t="shared" si="42"/>
        <v>0</v>
      </c>
      <c r="H135" s="645">
        <f t="shared" si="43"/>
        <v>0</v>
      </c>
      <c r="I135" s="630">
        <f t="shared" si="44"/>
        <v>0</v>
      </c>
      <c r="J135" s="505">
        <f t="shared" si="31"/>
        <v>0</v>
      </c>
      <c r="K135" s="505"/>
      <c r="L135" s="513"/>
      <c r="M135" s="505">
        <f t="shared" si="45"/>
        <v>0</v>
      </c>
      <c r="N135" s="513"/>
      <c r="O135" s="505">
        <f t="shared" si="46"/>
        <v>0</v>
      </c>
      <c r="P135" s="505">
        <f t="shared" si="47"/>
        <v>0</v>
      </c>
      <c r="Q135" s="244"/>
      <c r="R135" s="244"/>
      <c r="S135" s="244"/>
      <c r="T135" s="244"/>
      <c r="U135" s="244"/>
    </row>
    <row r="136" spans="2:21" ht="12.5">
      <c r="B136" s="145" t="str">
        <f t="shared" si="30"/>
        <v/>
      </c>
      <c r="C136" s="496">
        <f>IF(D94="","-",+C135+1)</f>
        <v>2050</v>
      </c>
      <c r="D136" s="350">
        <f>IF(F135+SUM(E$100:E135)=D$93,F135,D$93-SUM(E$100:E135))</f>
        <v>0</v>
      </c>
      <c r="E136" s="629">
        <f t="shared" si="40"/>
        <v>0</v>
      </c>
      <c r="F136" s="511">
        <f t="shared" si="41"/>
        <v>0</v>
      </c>
      <c r="G136" s="511">
        <f t="shared" si="42"/>
        <v>0</v>
      </c>
      <c r="H136" s="645">
        <f t="shared" si="43"/>
        <v>0</v>
      </c>
      <c r="I136" s="630">
        <f t="shared" si="44"/>
        <v>0</v>
      </c>
      <c r="J136" s="505">
        <f t="shared" si="31"/>
        <v>0</v>
      </c>
      <c r="K136" s="505"/>
      <c r="L136" s="513"/>
      <c r="M136" s="505">
        <f t="shared" si="45"/>
        <v>0</v>
      </c>
      <c r="N136" s="513"/>
      <c r="O136" s="505">
        <f t="shared" si="46"/>
        <v>0</v>
      </c>
      <c r="P136" s="505">
        <f t="shared" si="47"/>
        <v>0</v>
      </c>
      <c r="Q136" s="244"/>
      <c r="R136" s="244"/>
      <c r="S136" s="244"/>
      <c r="T136" s="244"/>
      <c r="U136" s="244"/>
    </row>
    <row r="137" spans="2:21" ht="12.5">
      <c r="B137" s="145" t="str">
        <f t="shared" si="30"/>
        <v/>
      </c>
      <c r="C137" s="496">
        <f>IF(D94="","-",+C136+1)</f>
        <v>2051</v>
      </c>
      <c r="D137" s="350">
        <f>IF(F136+SUM(E$100:E136)=D$93,F136,D$93-SUM(E$100:E136))</f>
        <v>0</v>
      </c>
      <c r="E137" s="629">
        <f t="shared" si="40"/>
        <v>0</v>
      </c>
      <c r="F137" s="511">
        <f t="shared" si="41"/>
        <v>0</v>
      </c>
      <c r="G137" s="511">
        <f t="shared" si="42"/>
        <v>0</v>
      </c>
      <c r="H137" s="645">
        <f t="shared" si="43"/>
        <v>0</v>
      </c>
      <c r="I137" s="630">
        <f t="shared" si="44"/>
        <v>0</v>
      </c>
      <c r="J137" s="505">
        <f t="shared" si="31"/>
        <v>0</v>
      </c>
      <c r="K137" s="505"/>
      <c r="L137" s="513"/>
      <c r="M137" s="505">
        <f t="shared" si="45"/>
        <v>0</v>
      </c>
      <c r="N137" s="513"/>
      <c r="O137" s="505">
        <f t="shared" si="46"/>
        <v>0</v>
      </c>
      <c r="P137" s="505">
        <f t="shared" si="47"/>
        <v>0</v>
      </c>
      <c r="Q137" s="244"/>
      <c r="R137" s="244"/>
      <c r="S137" s="244"/>
      <c r="T137" s="244"/>
      <c r="U137" s="244"/>
    </row>
    <row r="138" spans="2:21" ht="12.5">
      <c r="B138" s="145" t="str">
        <f t="shared" si="30"/>
        <v/>
      </c>
      <c r="C138" s="496">
        <f>IF(D94="","-",+C137+1)</f>
        <v>2052</v>
      </c>
      <c r="D138" s="350">
        <f>IF(F137+SUM(E$100:E137)=D$93,F137,D$93-SUM(E$100:E137))</f>
        <v>0</v>
      </c>
      <c r="E138" s="629">
        <f t="shared" si="40"/>
        <v>0</v>
      </c>
      <c r="F138" s="511">
        <f t="shared" si="41"/>
        <v>0</v>
      </c>
      <c r="G138" s="511">
        <f t="shared" si="42"/>
        <v>0</v>
      </c>
      <c r="H138" s="645">
        <f t="shared" si="43"/>
        <v>0</v>
      </c>
      <c r="I138" s="630">
        <f t="shared" si="44"/>
        <v>0</v>
      </c>
      <c r="J138" s="505">
        <f t="shared" si="31"/>
        <v>0</v>
      </c>
      <c r="K138" s="505"/>
      <c r="L138" s="513"/>
      <c r="M138" s="505">
        <f t="shared" si="45"/>
        <v>0</v>
      </c>
      <c r="N138" s="513"/>
      <c r="O138" s="505">
        <f t="shared" si="46"/>
        <v>0</v>
      </c>
      <c r="P138" s="505">
        <f t="shared" si="47"/>
        <v>0</v>
      </c>
      <c r="Q138" s="244"/>
      <c r="R138" s="244"/>
      <c r="S138" s="244"/>
      <c r="T138" s="244"/>
      <c r="U138" s="244"/>
    </row>
    <row r="139" spans="2:21" ht="12.5">
      <c r="B139" s="145" t="str">
        <f t="shared" si="30"/>
        <v/>
      </c>
      <c r="C139" s="496">
        <f>IF(D94="","-",+C138+1)</f>
        <v>2053</v>
      </c>
      <c r="D139" s="350">
        <f>IF(F138+SUM(E$100:E138)=D$93,F138,D$93-SUM(E$100:E138))</f>
        <v>0</v>
      </c>
      <c r="E139" s="629">
        <f t="shared" si="40"/>
        <v>0</v>
      </c>
      <c r="F139" s="511">
        <f t="shared" si="41"/>
        <v>0</v>
      </c>
      <c r="G139" s="511">
        <f t="shared" si="42"/>
        <v>0</v>
      </c>
      <c r="H139" s="645">
        <f t="shared" si="43"/>
        <v>0</v>
      </c>
      <c r="I139" s="630">
        <f t="shared" si="44"/>
        <v>0</v>
      </c>
      <c r="J139" s="505">
        <f t="shared" si="31"/>
        <v>0</v>
      </c>
      <c r="K139" s="505"/>
      <c r="L139" s="513"/>
      <c r="M139" s="505">
        <f t="shared" si="45"/>
        <v>0</v>
      </c>
      <c r="N139" s="513"/>
      <c r="O139" s="505">
        <f t="shared" si="46"/>
        <v>0</v>
      </c>
      <c r="P139" s="505">
        <f t="shared" si="47"/>
        <v>0</v>
      </c>
      <c r="Q139" s="244"/>
      <c r="R139" s="244"/>
      <c r="S139" s="244"/>
      <c r="T139" s="244"/>
      <c r="U139" s="244"/>
    </row>
    <row r="140" spans="2:21" ht="12.5">
      <c r="B140" s="145" t="str">
        <f t="shared" si="30"/>
        <v/>
      </c>
      <c r="C140" s="496">
        <f>IF(D94="","-",+C139+1)</f>
        <v>2054</v>
      </c>
      <c r="D140" s="350">
        <f>IF(F139+SUM(E$100:E139)=D$93,F139,D$93-SUM(E$100:E139))</f>
        <v>0</v>
      </c>
      <c r="E140" s="629">
        <f t="shared" si="40"/>
        <v>0</v>
      </c>
      <c r="F140" s="511">
        <f t="shared" si="41"/>
        <v>0</v>
      </c>
      <c r="G140" s="511">
        <f t="shared" si="42"/>
        <v>0</v>
      </c>
      <c r="H140" s="645">
        <f t="shared" si="43"/>
        <v>0</v>
      </c>
      <c r="I140" s="630">
        <f t="shared" si="44"/>
        <v>0</v>
      </c>
      <c r="J140" s="505">
        <f t="shared" si="31"/>
        <v>0</v>
      </c>
      <c r="K140" s="505"/>
      <c r="L140" s="513"/>
      <c r="M140" s="505">
        <f t="shared" si="45"/>
        <v>0</v>
      </c>
      <c r="N140" s="513"/>
      <c r="O140" s="505">
        <f t="shared" si="46"/>
        <v>0</v>
      </c>
      <c r="P140" s="505">
        <f t="shared" si="47"/>
        <v>0</v>
      </c>
      <c r="Q140" s="244"/>
      <c r="R140" s="244"/>
      <c r="S140" s="244"/>
      <c r="T140" s="244"/>
      <c r="U140" s="244"/>
    </row>
    <row r="141" spans="2:21" ht="12.5">
      <c r="B141" s="145" t="str">
        <f t="shared" si="30"/>
        <v/>
      </c>
      <c r="C141" s="496">
        <f>IF(D94="","-",+C140+1)</f>
        <v>2055</v>
      </c>
      <c r="D141" s="350">
        <f>IF(F140+SUM(E$100:E140)=D$93,F140,D$93-SUM(E$100:E140))</f>
        <v>0</v>
      </c>
      <c r="E141" s="629">
        <f t="shared" si="40"/>
        <v>0</v>
      </c>
      <c r="F141" s="511">
        <f t="shared" si="41"/>
        <v>0</v>
      </c>
      <c r="G141" s="511">
        <f t="shared" si="42"/>
        <v>0</v>
      </c>
      <c r="H141" s="645">
        <f t="shared" si="43"/>
        <v>0</v>
      </c>
      <c r="I141" s="630">
        <f t="shared" si="44"/>
        <v>0</v>
      </c>
      <c r="J141" s="505">
        <f t="shared" si="31"/>
        <v>0</v>
      </c>
      <c r="K141" s="505"/>
      <c r="L141" s="513"/>
      <c r="M141" s="505">
        <f t="shared" si="45"/>
        <v>0</v>
      </c>
      <c r="N141" s="513"/>
      <c r="O141" s="505">
        <f t="shared" si="46"/>
        <v>0</v>
      </c>
      <c r="P141" s="505">
        <f t="shared" si="47"/>
        <v>0</v>
      </c>
      <c r="Q141" s="244"/>
      <c r="R141" s="244"/>
      <c r="S141" s="244"/>
      <c r="T141" s="244"/>
      <c r="U141" s="244"/>
    </row>
    <row r="142" spans="2:21" ht="12.5">
      <c r="B142" s="145" t="str">
        <f t="shared" si="30"/>
        <v/>
      </c>
      <c r="C142" s="496">
        <f>IF(D94="","-",+C141+1)</f>
        <v>2056</v>
      </c>
      <c r="D142" s="350">
        <f>IF(F141+SUM(E$100:E141)=D$93,F141,D$93-SUM(E$100:E141))</f>
        <v>0</v>
      </c>
      <c r="E142" s="629">
        <f t="shared" si="40"/>
        <v>0</v>
      </c>
      <c r="F142" s="511">
        <f t="shared" si="41"/>
        <v>0</v>
      </c>
      <c r="G142" s="511">
        <f t="shared" si="42"/>
        <v>0</v>
      </c>
      <c r="H142" s="645">
        <f t="shared" si="43"/>
        <v>0</v>
      </c>
      <c r="I142" s="630">
        <f t="shared" si="44"/>
        <v>0</v>
      </c>
      <c r="J142" s="505">
        <f t="shared" si="31"/>
        <v>0</v>
      </c>
      <c r="K142" s="505"/>
      <c r="L142" s="513"/>
      <c r="M142" s="505">
        <f t="shared" si="45"/>
        <v>0</v>
      </c>
      <c r="N142" s="513"/>
      <c r="O142" s="505">
        <f t="shared" si="46"/>
        <v>0</v>
      </c>
      <c r="P142" s="505">
        <f t="shared" si="47"/>
        <v>0</v>
      </c>
      <c r="Q142" s="244"/>
      <c r="R142" s="244"/>
      <c r="S142" s="244"/>
      <c r="T142" s="244"/>
      <c r="U142" s="244"/>
    </row>
    <row r="143" spans="2:21" ht="12.5">
      <c r="B143" s="145" t="str">
        <f t="shared" si="30"/>
        <v/>
      </c>
      <c r="C143" s="496">
        <f>IF(D94="","-",+C142+1)</f>
        <v>2057</v>
      </c>
      <c r="D143" s="350">
        <f>IF(F142+SUM(E$100:E142)=D$93,F142,D$93-SUM(E$100:E142))</f>
        <v>0</v>
      </c>
      <c r="E143" s="629">
        <f t="shared" si="40"/>
        <v>0</v>
      </c>
      <c r="F143" s="511">
        <f t="shared" si="41"/>
        <v>0</v>
      </c>
      <c r="G143" s="511">
        <f t="shared" si="42"/>
        <v>0</v>
      </c>
      <c r="H143" s="645">
        <f t="shared" si="43"/>
        <v>0</v>
      </c>
      <c r="I143" s="630">
        <f t="shared" si="44"/>
        <v>0</v>
      </c>
      <c r="J143" s="505">
        <f t="shared" si="31"/>
        <v>0</v>
      </c>
      <c r="K143" s="505"/>
      <c r="L143" s="513"/>
      <c r="M143" s="505">
        <f t="shared" si="45"/>
        <v>0</v>
      </c>
      <c r="N143" s="513"/>
      <c r="O143" s="505">
        <f t="shared" si="46"/>
        <v>0</v>
      </c>
      <c r="P143" s="505">
        <f t="shared" si="47"/>
        <v>0</v>
      </c>
      <c r="Q143" s="244"/>
      <c r="R143" s="244"/>
      <c r="S143" s="244"/>
      <c r="T143" s="244"/>
      <c r="U143" s="244"/>
    </row>
    <row r="144" spans="2:21" ht="12.5">
      <c r="B144" s="145" t="str">
        <f t="shared" si="30"/>
        <v/>
      </c>
      <c r="C144" s="496">
        <f>IF(D94="","-",+C143+1)</f>
        <v>2058</v>
      </c>
      <c r="D144" s="350">
        <f>IF(F143+SUM(E$100:E143)=D$93,F143,D$93-SUM(E$100:E143))</f>
        <v>0</v>
      </c>
      <c r="E144" s="629">
        <f t="shared" si="40"/>
        <v>0</v>
      </c>
      <c r="F144" s="511">
        <f t="shared" si="41"/>
        <v>0</v>
      </c>
      <c r="G144" s="511">
        <f t="shared" si="42"/>
        <v>0</v>
      </c>
      <c r="H144" s="645">
        <f t="shared" si="43"/>
        <v>0</v>
      </c>
      <c r="I144" s="630">
        <f t="shared" si="44"/>
        <v>0</v>
      </c>
      <c r="J144" s="505">
        <f t="shared" si="31"/>
        <v>0</v>
      </c>
      <c r="K144" s="505"/>
      <c r="L144" s="513"/>
      <c r="M144" s="505">
        <f t="shared" si="45"/>
        <v>0</v>
      </c>
      <c r="N144" s="513"/>
      <c r="O144" s="505">
        <f t="shared" si="46"/>
        <v>0</v>
      </c>
      <c r="P144" s="505">
        <f t="shared" si="47"/>
        <v>0</v>
      </c>
      <c r="Q144" s="244"/>
      <c r="R144" s="244"/>
      <c r="S144" s="244"/>
      <c r="T144" s="244"/>
      <c r="U144" s="244"/>
    </row>
    <row r="145" spans="2:21" ht="12.5">
      <c r="B145" s="145" t="str">
        <f t="shared" si="30"/>
        <v/>
      </c>
      <c r="C145" s="496">
        <f>IF(D94="","-",+C144+1)</f>
        <v>2059</v>
      </c>
      <c r="D145" s="350">
        <f>IF(F144+SUM(E$100:E144)=D$93,F144,D$93-SUM(E$100:E144))</f>
        <v>0</v>
      </c>
      <c r="E145" s="629">
        <f t="shared" si="40"/>
        <v>0</v>
      </c>
      <c r="F145" s="511">
        <f t="shared" si="41"/>
        <v>0</v>
      </c>
      <c r="G145" s="511">
        <f t="shared" si="42"/>
        <v>0</v>
      </c>
      <c r="H145" s="645">
        <f t="shared" si="43"/>
        <v>0</v>
      </c>
      <c r="I145" s="630">
        <f t="shared" si="44"/>
        <v>0</v>
      </c>
      <c r="J145" s="505">
        <f t="shared" si="31"/>
        <v>0</v>
      </c>
      <c r="K145" s="505"/>
      <c r="L145" s="513"/>
      <c r="M145" s="505">
        <f t="shared" si="45"/>
        <v>0</v>
      </c>
      <c r="N145" s="513"/>
      <c r="O145" s="505">
        <f t="shared" si="46"/>
        <v>0</v>
      </c>
      <c r="P145" s="505">
        <f t="shared" si="47"/>
        <v>0</v>
      </c>
      <c r="Q145" s="244"/>
      <c r="R145" s="244"/>
      <c r="S145" s="244"/>
      <c r="T145" s="244"/>
      <c r="U145" s="244"/>
    </row>
    <row r="146" spans="2:21" ht="12.5">
      <c r="B146" s="145" t="str">
        <f t="shared" si="30"/>
        <v/>
      </c>
      <c r="C146" s="496">
        <f>IF(D94="","-",+C145+1)</f>
        <v>2060</v>
      </c>
      <c r="D146" s="350">
        <f>IF(F145+SUM(E$100:E145)=D$93,F145,D$93-SUM(E$100:E145))</f>
        <v>0</v>
      </c>
      <c r="E146" s="629">
        <f t="shared" si="40"/>
        <v>0</v>
      </c>
      <c r="F146" s="511">
        <f t="shared" si="41"/>
        <v>0</v>
      </c>
      <c r="G146" s="511">
        <f t="shared" si="42"/>
        <v>0</v>
      </c>
      <c r="H146" s="645">
        <f t="shared" si="43"/>
        <v>0</v>
      </c>
      <c r="I146" s="630">
        <f t="shared" si="44"/>
        <v>0</v>
      </c>
      <c r="J146" s="505">
        <f t="shared" si="31"/>
        <v>0</v>
      </c>
      <c r="K146" s="505"/>
      <c r="L146" s="513"/>
      <c r="M146" s="505">
        <f t="shared" si="45"/>
        <v>0</v>
      </c>
      <c r="N146" s="513"/>
      <c r="O146" s="505">
        <f t="shared" si="46"/>
        <v>0</v>
      </c>
      <c r="P146" s="505">
        <f t="shared" si="47"/>
        <v>0</v>
      </c>
      <c r="Q146" s="244"/>
      <c r="R146" s="244"/>
      <c r="S146" s="244"/>
      <c r="T146" s="244"/>
      <c r="U146" s="244"/>
    </row>
    <row r="147" spans="2:21" ht="12.5">
      <c r="B147" s="145" t="str">
        <f t="shared" si="30"/>
        <v/>
      </c>
      <c r="C147" s="496">
        <f>IF(D94="","-",+C146+1)</f>
        <v>2061</v>
      </c>
      <c r="D147" s="350">
        <f>IF(F146+SUM(E$100:E146)=D$93,F146,D$93-SUM(E$100:E146))</f>
        <v>0</v>
      </c>
      <c r="E147" s="629">
        <f t="shared" si="40"/>
        <v>0</v>
      </c>
      <c r="F147" s="511">
        <f t="shared" si="41"/>
        <v>0</v>
      </c>
      <c r="G147" s="511">
        <f t="shared" si="42"/>
        <v>0</v>
      </c>
      <c r="H147" s="645">
        <f t="shared" si="43"/>
        <v>0</v>
      </c>
      <c r="I147" s="630">
        <f t="shared" si="44"/>
        <v>0</v>
      </c>
      <c r="J147" s="505">
        <f t="shared" si="31"/>
        <v>0</v>
      </c>
      <c r="K147" s="505"/>
      <c r="L147" s="513"/>
      <c r="M147" s="505">
        <f t="shared" si="45"/>
        <v>0</v>
      </c>
      <c r="N147" s="513"/>
      <c r="O147" s="505">
        <f t="shared" si="46"/>
        <v>0</v>
      </c>
      <c r="P147" s="505">
        <f t="shared" si="47"/>
        <v>0</v>
      </c>
      <c r="Q147" s="244"/>
      <c r="R147" s="244"/>
      <c r="S147" s="244"/>
      <c r="T147" s="244"/>
      <c r="U147" s="244"/>
    </row>
    <row r="148" spans="2:21" ht="12.5">
      <c r="B148" s="145" t="str">
        <f t="shared" si="30"/>
        <v/>
      </c>
      <c r="C148" s="496">
        <f>IF(D94="","-",+C147+1)</f>
        <v>2062</v>
      </c>
      <c r="D148" s="350">
        <f>IF(F147+SUM(E$100:E147)=D$93,F147,D$93-SUM(E$100:E147))</f>
        <v>0</v>
      </c>
      <c r="E148" s="629">
        <f t="shared" si="40"/>
        <v>0</v>
      </c>
      <c r="F148" s="511">
        <f t="shared" si="41"/>
        <v>0</v>
      </c>
      <c r="G148" s="511">
        <f t="shared" si="42"/>
        <v>0</v>
      </c>
      <c r="H148" s="645">
        <f t="shared" si="43"/>
        <v>0</v>
      </c>
      <c r="I148" s="630">
        <f t="shared" si="44"/>
        <v>0</v>
      </c>
      <c r="J148" s="505">
        <f t="shared" si="31"/>
        <v>0</v>
      </c>
      <c r="K148" s="505"/>
      <c r="L148" s="513"/>
      <c r="M148" s="505">
        <f t="shared" si="45"/>
        <v>0</v>
      </c>
      <c r="N148" s="513"/>
      <c r="O148" s="505">
        <f t="shared" si="46"/>
        <v>0</v>
      </c>
      <c r="P148" s="505">
        <f t="shared" si="47"/>
        <v>0</v>
      </c>
      <c r="Q148" s="244"/>
      <c r="R148" s="244"/>
      <c r="S148" s="244"/>
      <c r="T148" s="244"/>
      <c r="U148" s="244"/>
    </row>
    <row r="149" spans="2:21" ht="12.5">
      <c r="B149" s="145" t="str">
        <f t="shared" si="30"/>
        <v/>
      </c>
      <c r="C149" s="496">
        <f>IF(D94="","-",+C148+1)</f>
        <v>2063</v>
      </c>
      <c r="D149" s="350">
        <f>IF(F148+SUM(E$100:E148)=D$93,F148,D$93-SUM(E$100:E148))</f>
        <v>0</v>
      </c>
      <c r="E149" s="629">
        <f t="shared" si="40"/>
        <v>0</v>
      </c>
      <c r="F149" s="511">
        <f t="shared" si="41"/>
        <v>0</v>
      </c>
      <c r="G149" s="511">
        <f t="shared" si="42"/>
        <v>0</v>
      </c>
      <c r="H149" s="645">
        <f t="shared" si="43"/>
        <v>0</v>
      </c>
      <c r="I149" s="630">
        <f t="shared" si="44"/>
        <v>0</v>
      </c>
      <c r="J149" s="505">
        <f t="shared" si="31"/>
        <v>0</v>
      </c>
      <c r="K149" s="505"/>
      <c r="L149" s="513"/>
      <c r="M149" s="505">
        <f t="shared" si="45"/>
        <v>0</v>
      </c>
      <c r="N149" s="513"/>
      <c r="O149" s="505">
        <f t="shared" si="46"/>
        <v>0</v>
      </c>
      <c r="P149" s="505">
        <f t="shared" si="47"/>
        <v>0</v>
      </c>
      <c r="Q149" s="244"/>
      <c r="R149" s="244"/>
      <c r="S149" s="244"/>
      <c r="T149" s="244"/>
      <c r="U149" s="244"/>
    </row>
    <row r="150" spans="2:21" ht="12.5">
      <c r="B150" s="145" t="str">
        <f t="shared" si="30"/>
        <v/>
      </c>
      <c r="C150" s="496">
        <f>IF(D94="","-",+C149+1)</f>
        <v>2064</v>
      </c>
      <c r="D150" s="350">
        <f>IF(F149+SUM(E$100:E149)=D$93,F149,D$93-SUM(E$100:E149))</f>
        <v>0</v>
      </c>
      <c r="E150" s="629">
        <f t="shared" si="40"/>
        <v>0</v>
      </c>
      <c r="F150" s="511">
        <f t="shared" si="41"/>
        <v>0</v>
      </c>
      <c r="G150" s="511">
        <f t="shared" si="42"/>
        <v>0</v>
      </c>
      <c r="H150" s="645">
        <f t="shared" si="43"/>
        <v>0</v>
      </c>
      <c r="I150" s="630">
        <f t="shared" si="44"/>
        <v>0</v>
      </c>
      <c r="J150" s="505">
        <f t="shared" si="31"/>
        <v>0</v>
      </c>
      <c r="K150" s="505"/>
      <c r="L150" s="513"/>
      <c r="M150" s="505">
        <f t="shared" si="45"/>
        <v>0</v>
      </c>
      <c r="N150" s="513"/>
      <c r="O150" s="505">
        <f t="shared" si="46"/>
        <v>0</v>
      </c>
      <c r="P150" s="505">
        <f t="shared" si="47"/>
        <v>0</v>
      </c>
      <c r="Q150" s="244"/>
      <c r="R150" s="244"/>
      <c r="S150" s="244"/>
      <c r="T150" s="244"/>
      <c r="U150" s="244"/>
    </row>
    <row r="151" spans="2:21" ht="12.5">
      <c r="B151" s="145" t="str">
        <f t="shared" si="30"/>
        <v/>
      </c>
      <c r="C151" s="496">
        <f>IF(D94="","-",+C150+1)</f>
        <v>2065</v>
      </c>
      <c r="D151" s="350">
        <f>IF(F150+SUM(E$100:E150)=D$93,F150,D$93-SUM(E$100:E150))</f>
        <v>0</v>
      </c>
      <c r="E151" s="629">
        <f t="shared" si="40"/>
        <v>0</v>
      </c>
      <c r="F151" s="511">
        <f t="shared" si="41"/>
        <v>0</v>
      </c>
      <c r="G151" s="511">
        <f t="shared" si="42"/>
        <v>0</v>
      </c>
      <c r="H151" s="645">
        <f t="shared" si="43"/>
        <v>0</v>
      </c>
      <c r="I151" s="630">
        <f t="shared" si="44"/>
        <v>0</v>
      </c>
      <c r="J151" s="505">
        <f t="shared" si="31"/>
        <v>0</v>
      </c>
      <c r="K151" s="505"/>
      <c r="L151" s="513"/>
      <c r="M151" s="505">
        <f t="shared" si="45"/>
        <v>0</v>
      </c>
      <c r="N151" s="513"/>
      <c r="O151" s="505">
        <f t="shared" si="46"/>
        <v>0</v>
      </c>
      <c r="P151" s="505">
        <f t="shared" si="47"/>
        <v>0</v>
      </c>
      <c r="Q151" s="244"/>
      <c r="R151" s="244"/>
      <c r="S151" s="244"/>
      <c r="T151" s="244"/>
      <c r="U151" s="244"/>
    </row>
    <row r="152" spans="2:21" ht="12.5">
      <c r="B152" s="145" t="str">
        <f t="shared" si="30"/>
        <v/>
      </c>
      <c r="C152" s="496">
        <f>IF(D94="","-",+C151+1)</f>
        <v>2066</v>
      </c>
      <c r="D152" s="350">
        <f>IF(F151+SUM(E$100:E151)=D$93,F151,D$93-SUM(E$100:E151))</f>
        <v>0</v>
      </c>
      <c r="E152" s="629">
        <f t="shared" si="40"/>
        <v>0</v>
      </c>
      <c r="F152" s="511">
        <f t="shared" si="41"/>
        <v>0</v>
      </c>
      <c r="G152" s="511">
        <f t="shared" si="42"/>
        <v>0</v>
      </c>
      <c r="H152" s="645">
        <f t="shared" si="43"/>
        <v>0</v>
      </c>
      <c r="I152" s="630">
        <f t="shared" si="44"/>
        <v>0</v>
      </c>
      <c r="J152" s="505">
        <f t="shared" si="31"/>
        <v>0</v>
      </c>
      <c r="K152" s="505"/>
      <c r="L152" s="513"/>
      <c r="M152" s="505">
        <f t="shared" si="45"/>
        <v>0</v>
      </c>
      <c r="N152" s="513"/>
      <c r="O152" s="505">
        <f t="shared" si="46"/>
        <v>0</v>
      </c>
      <c r="P152" s="505">
        <f t="shared" si="47"/>
        <v>0</v>
      </c>
      <c r="Q152" s="244"/>
      <c r="R152" s="244"/>
      <c r="S152" s="244"/>
      <c r="T152" s="244"/>
      <c r="U152" s="244"/>
    </row>
    <row r="153" spans="2:21" ht="12.5">
      <c r="B153" s="145" t="str">
        <f t="shared" si="30"/>
        <v/>
      </c>
      <c r="C153" s="496">
        <f>IF(D94="","-",+C152+1)</f>
        <v>2067</v>
      </c>
      <c r="D153" s="350">
        <f>IF(F152+SUM(E$100:E152)=D$93,F152,D$93-SUM(E$100:E152))</f>
        <v>0</v>
      </c>
      <c r="E153" s="629">
        <f t="shared" si="40"/>
        <v>0</v>
      </c>
      <c r="F153" s="511">
        <f t="shared" si="41"/>
        <v>0</v>
      </c>
      <c r="G153" s="511">
        <f t="shared" si="42"/>
        <v>0</v>
      </c>
      <c r="H153" s="645">
        <f t="shared" si="43"/>
        <v>0</v>
      </c>
      <c r="I153" s="630">
        <f t="shared" si="44"/>
        <v>0</v>
      </c>
      <c r="J153" s="505">
        <f t="shared" si="31"/>
        <v>0</v>
      </c>
      <c r="K153" s="505"/>
      <c r="L153" s="513"/>
      <c r="M153" s="505">
        <f t="shared" si="45"/>
        <v>0</v>
      </c>
      <c r="N153" s="513"/>
      <c r="O153" s="505">
        <f t="shared" si="46"/>
        <v>0</v>
      </c>
      <c r="P153" s="505">
        <f t="shared" si="47"/>
        <v>0</v>
      </c>
      <c r="Q153" s="244"/>
      <c r="R153" s="244"/>
      <c r="S153" s="244"/>
      <c r="T153" s="244"/>
      <c r="U153" s="244"/>
    </row>
    <row r="154" spans="2:21" ht="12.5">
      <c r="B154" s="145" t="str">
        <f t="shared" si="30"/>
        <v/>
      </c>
      <c r="C154" s="496">
        <f>IF(D94="","-",+C153+1)</f>
        <v>2068</v>
      </c>
      <c r="D154" s="350">
        <f>IF(F153+SUM(E$100:E153)=D$93,F153,D$93-SUM(E$100:E153))</f>
        <v>0</v>
      </c>
      <c r="E154" s="629">
        <f t="shared" si="40"/>
        <v>0</v>
      </c>
      <c r="F154" s="511">
        <f t="shared" si="41"/>
        <v>0</v>
      </c>
      <c r="G154" s="511">
        <f t="shared" si="42"/>
        <v>0</v>
      </c>
      <c r="H154" s="645">
        <f t="shared" si="43"/>
        <v>0</v>
      </c>
      <c r="I154" s="630">
        <f t="shared" si="44"/>
        <v>0</v>
      </c>
      <c r="J154" s="505">
        <f t="shared" si="31"/>
        <v>0</v>
      </c>
      <c r="K154" s="505"/>
      <c r="L154" s="513"/>
      <c r="M154" s="505">
        <f t="shared" si="45"/>
        <v>0</v>
      </c>
      <c r="N154" s="513"/>
      <c r="O154" s="505">
        <f t="shared" si="46"/>
        <v>0</v>
      </c>
      <c r="P154" s="505">
        <f t="shared" si="47"/>
        <v>0</v>
      </c>
      <c r="Q154" s="244"/>
      <c r="R154" s="244"/>
      <c r="S154" s="244"/>
      <c r="T154" s="244"/>
      <c r="U154" s="244"/>
    </row>
    <row r="155" spans="2:21" ht="13" thickBot="1">
      <c r="B155" s="145" t="str">
        <f t="shared" si="30"/>
        <v/>
      </c>
      <c r="C155" s="525">
        <f>IF(D94="","-",+C154+1)</f>
        <v>2069</v>
      </c>
      <c r="D155" s="619">
        <f>IF(F154+SUM(E$100:E154)=D$93,F154,D$93-SUM(E$100:E154))</f>
        <v>0</v>
      </c>
      <c r="E155" s="631">
        <f t="shared" si="40"/>
        <v>0</v>
      </c>
      <c r="F155" s="528">
        <f t="shared" si="41"/>
        <v>0</v>
      </c>
      <c r="G155" s="528">
        <f t="shared" si="42"/>
        <v>0</v>
      </c>
      <c r="H155" s="645">
        <f t="shared" si="43"/>
        <v>0</v>
      </c>
      <c r="I155" s="632">
        <f t="shared" si="44"/>
        <v>0</v>
      </c>
      <c r="J155" s="532">
        <f t="shared" si="31"/>
        <v>0</v>
      </c>
      <c r="K155" s="505"/>
      <c r="L155" s="531"/>
      <c r="M155" s="532">
        <f t="shared" si="45"/>
        <v>0</v>
      </c>
      <c r="N155" s="531"/>
      <c r="O155" s="532">
        <f t="shared" si="46"/>
        <v>0</v>
      </c>
      <c r="P155" s="532">
        <f t="shared" si="47"/>
        <v>0</v>
      </c>
      <c r="Q155" s="244"/>
      <c r="R155" s="244"/>
      <c r="S155" s="244"/>
      <c r="T155" s="244"/>
      <c r="U155" s="244"/>
    </row>
    <row r="156" spans="2:21" ht="12.5">
      <c r="C156" s="350" t="s">
        <v>75</v>
      </c>
      <c r="D156" s="295"/>
      <c r="E156" s="295">
        <f>SUM(E100:E155)</f>
        <v>13254469.999999996</v>
      </c>
      <c r="F156" s="295"/>
      <c r="G156" s="295"/>
      <c r="H156" s="295">
        <f>SUM(H100:H155)</f>
        <v>31674497.037228327</v>
      </c>
      <c r="I156" s="295">
        <f>SUM(I100:I155)</f>
        <v>31674497.037228327</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7" priority="1" stopIfTrue="1" operator="equal">
      <formula>$I$10</formula>
    </cfRule>
  </conditionalFormatting>
  <conditionalFormatting sqref="C100:C155">
    <cfRule type="cellIs" dxfId="36"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tabColor theme="9" tint="0.39997558519241921"/>
  </sheetPr>
  <dimension ref="A1:U163"/>
  <sheetViews>
    <sheetView topLeftCell="A66" zoomScaleNormal="100" zoomScaleSheetLayoutView="78"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13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0</v>
      </c>
      <c r="P5" s="244"/>
      <c r="R5" s="244"/>
      <c r="S5" s="244"/>
      <c r="T5" s="244"/>
      <c r="U5" s="244"/>
    </row>
    <row r="6" spans="1:21" ht="15.5">
      <c r="C6" s="634" t="s">
        <v>267</v>
      </c>
      <c r="D6" s="293"/>
      <c r="E6" s="244"/>
      <c r="F6" s="244"/>
      <c r="G6" s="244"/>
      <c r="H6" s="450"/>
      <c r="I6" s="450"/>
      <c r="J6" s="451"/>
      <c r="K6" s="452" t="s">
        <v>243</v>
      </c>
      <c r="L6" s="453"/>
      <c r="M6" s="279"/>
      <c r="N6" s="454">
        <f>VLOOKUP(I10,C17:I73,6)</f>
        <v>0</v>
      </c>
      <c r="O6" s="244"/>
      <c r="P6" s="244"/>
      <c r="R6" s="244"/>
      <c r="S6" s="244"/>
      <c r="T6" s="244"/>
      <c r="U6" s="244"/>
    </row>
    <row r="7" spans="1:21" ht="13.5" thickBot="1">
      <c r="C7" s="455" t="s">
        <v>46</v>
      </c>
      <c r="D7" s="456" t="s">
        <v>231</v>
      </c>
      <c r="E7" s="244"/>
      <c r="F7" s="244"/>
      <c r="G7" s="244"/>
      <c r="H7" s="326"/>
      <c r="I7" s="326"/>
      <c r="J7" s="295"/>
      <c r="K7" s="457" t="s">
        <v>47</v>
      </c>
      <c r="L7" s="458"/>
      <c r="M7" s="458"/>
      <c r="N7" s="459">
        <f>+N6-N5</f>
        <v>0</v>
      </c>
      <c r="O7" s="244"/>
      <c r="P7" s="244"/>
      <c r="R7" s="244"/>
      <c r="S7" s="244"/>
      <c r="T7" s="244"/>
      <c r="U7" s="244"/>
    </row>
    <row r="8" spans="1:21" ht="13.5" thickBot="1">
      <c r="C8" s="460"/>
      <c r="D8" s="625" t="s">
        <v>230</v>
      </c>
      <c r="E8" s="462"/>
      <c r="F8" s="462"/>
      <c r="G8" s="462"/>
      <c r="H8" s="462"/>
      <c r="I8" s="462"/>
      <c r="J8" s="463"/>
      <c r="K8" s="462"/>
      <c r="L8" s="462"/>
      <c r="M8" s="462"/>
      <c r="N8" s="462"/>
      <c r="O8" s="463"/>
      <c r="P8" s="249"/>
      <c r="R8" s="244"/>
      <c r="S8" s="244"/>
      <c r="T8" s="244"/>
      <c r="U8" s="244"/>
    </row>
    <row r="9" spans="1:21" ht="13.5" thickBot="1">
      <c r="C9" s="464" t="s">
        <v>48</v>
      </c>
      <c r="D9" s="465" t="s">
        <v>232</v>
      </c>
      <c r="E9" s="466"/>
      <c r="F9" s="466"/>
      <c r="G9" s="466"/>
      <c r="H9" s="466"/>
      <c r="I9" s="467"/>
      <c r="J9" s="468"/>
      <c r="O9" s="469"/>
      <c r="P9" s="279"/>
      <c r="R9" s="244"/>
      <c r="S9" s="244"/>
      <c r="T9" s="244"/>
      <c r="U9" s="244"/>
    </row>
    <row r="10" spans="1:21" ht="13">
      <c r="C10" s="470" t="s">
        <v>49</v>
      </c>
      <c r="D10" s="471">
        <v>0</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2013</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10</v>
      </c>
      <c r="E12" s="473" t="s">
        <v>55</v>
      </c>
      <c r="F12" s="409"/>
      <c r="G12" s="221"/>
      <c r="H12" s="221"/>
      <c r="I12" s="477">
        <f>'OKT.WS.F.BPU.ATRR.Projected'!$F$78</f>
        <v>0.11475877389767174</v>
      </c>
      <c r="J12" s="414"/>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0</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496">
        <f>IF(D11= "","-",D11)</f>
        <v>2013</v>
      </c>
      <c r="D17" s="613">
        <v>4086696.07</v>
      </c>
      <c r="E17" s="621">
        <v>11782.768994177641</v>
      </c>
      <c r="F17" s="613">
        <v>4074913.3010058221</v>
      </c>
      <c r="G17" s="621">
        <v>123870.72395190655</v>
      </c>
      <c r="H17" s="618">
        <v>123870.72395190655</v>
      </c>
      <c r="I17" s="633">
        <v>0</v>
      </c>
      <c r="J17" s="501"/>
      <c r="K17" s="502">
        <f t="shared" ref="K17:K21" si="1">G17</f>
        <v>123870.72395190655</v>
      </c>
      <c r="L17" s="503">
        <f t="shared" ref="L17:L73" si="2">IF(K17&lt;&gt;0,+G17-K17,0)</f>
        <v>0</v>
      </c>
      <c r="M17" s="502">
        <f t="shared" ref="M17:M21" si="3">H17</f>
        <v>123870.72395190655</v>
      </c>
      <c r="N17" s="504">
        <f t="shared" ref="N17:N73" si="4">IF(M17&lt;&gt;0,+H17-M17,0)</f>
        <v>0</v>
      </c>
      <c r="O17" s="505">
        <f t="shared" ref="O17:O73" si="5">+N17-L17</f>
        <v>0</v>
      </c>
      <c r="P17" s="279"/>
      <c r="R17" s="244"/>
      <c r="S17" s="244"/>
      <c r="T17" s="244"/>
      <c r="U17" s="244"/>
    </row>
    <row r="18" spans="2:21" ht="12.5">
      <c r="B18" s="145" t="str">
        <f t="shared" si="0"/>
        <v/>
      </c>
      <c r="C18" s="496">
        <f>IF(D11="","-",+C17+1)</f>
        <v>2014</v>
      </c>
      <c r="D18" s="615">
        <v>4074913.3010058221</v>
      </c>
      <c r="E18" s="614">
        <v>70696.613965065844</v>
      </c>
      <c r="F18" s="615">
        <v>4004216.6870407565</v>
      </c>
      <c r="G18" s="614">
        <v>511269.87430631154</v>
      </c>
      <c r="H18" s="618">
        <v>511269.87430631154</v>
      </c>
      <c r="I18" s="633">
        <v>0</v>
      </c>
      <c r="J18" s="501"/>
      <c r="K18" s="593">
        <f t="shared" si="1"/>
        <v>511269.87430631154</v>
      </c>
      <c r="L18" s="597">
        <f t="shared" si="2"/>
        <v>0</v>
      </c>
      <c r="M18" s="593">
        <f t="shared" si="3"/>
        <v>511269.87430631154</v>
      </c>
      <c r="N18" s="595">
        <f t="shared" si="4"/>
        <v>0</v>
      </c>
      <c r="O18" s="597">
        <f t="shared" si="5"/>
        <v>0</v>
      </c>
      <c r="P18" s="279"/>
      <c r="R18" s="244"/>
      <c r="S18" s="244"/>
      <c r="T18" s="244"/>
      <c r="U18" s="244"/>
    </row>
    <row r="19" spans="2:21" ht="12.5">
      <c r="B19" s="145" t="str">
        <f t="shared" si="0"/>
        <v/>
      </c>
      <c r="C19" s="496">
        <f>IF(D11="","-",+C18+1)</f>
        <v>2015</v>
      </c>
      <c r="D19" s="615">
        <v>4004216.6870407565</v>
      </c>
      <c r="E19" s="614">
        <v>70696.613965065844</v>
      </c>
      <c r="F19" s="615">
        <v>3933520.0730756908</v>
      </c>
      <c r="G19" s="614">
        <v>476106.58378878143</v>
      </c>
      <c r="H19" s="618">
        <v>476106.58378878143</v>
      </c>
      <c r="I19" s="585">
        <v>0</v>
      </c>
      <c r="J19" s="501"/>
      <c r="K19" s="593">
        <f t="shared" si="1"/>
        <v>476106.58378878143</v>
      </c>
      <c r="L19" s="597">
        <f>IF(K19&lt;&gt;0,+G19-K19,0)</f>
        <v>0</v>
      </c>
      <c r="M19" s="593">
        <f t="shared" si="3"/>
        <v>476106.58378878143</v>
      </c>
      <c r="N19" s="595">
        <f>IF(M19&lt;&gt;0,+H19-M19,0)</f>
        <v>0</v>
      </c>
      <c r="O19" s="597">
        <f>+N19-L19</f>
        <v>0</v>
      </c>
      <c r="P19" s="279"/>
      <c r="R19" s="244"/>
      <c r="S19" s="244"/>
      <c r="T19" s="244"/>
      <c r="U19" s="244"/>
    </row>
    <row r="20" spans="2:21" ht="12.5">
      <c r="B20" s="145" t="str">
        <f t="shared" si="0"/>
        <v/>
      </c>
      <c r="C20" s="496">
        <f>IF(D11="","-",+C19+1)</f>
        <v>2016</v>
      </c>
      <c r="D20" s="615">
        <v>3933520.0730756908</v>
      </c>
      <c r="E20" s="614">
        <v>84919.313620452886</v>
      </c>
      <c r="F20" s="615">
        <v>3848600.759455238</v>
      </c>
      <c r="G20" s="614">
        <v>500107.78781700449</v>
      </c>
      <c r="H20" s="618">
        <v>500107.78781700449</v>
      </c>
      <c r="I20" s="501">
        <f>H20-G20</f>
        <v>0</v>
      </c>
      <c r="J20" s="501"/>
      <c r="K20" s="593">
        <f t="shared" si="1"/>
        <v>500107.78781700449</v>
      </c>
      <c r="L20" s="597">
        <f>IF(K20&lt;&gt;0,+G20-K20,0)</f>
        <v>0</v>
      </c>
      <c r="M20" s="593">
        <f t="shared" si="3"/>
        <v>500107.78781700449</v>
      </c>
      <c r="N20" s="505">
        <f t="shared" si="4"/>
        <v>0</v>
      </c>
      <c r="O20" s="505">
        <f t="shared" si="5"/>
        <v>0</v>
      </c>
      <c r="P20" s="279"/>
      <c r="R20" s="244"/>
      <c r="S20" s="244"/>
      <c r="T20" s="244"/>
      <c r="U20" s="244"/>
    </row>
    <row r="21" spans="2:21" ht="12.5">
      <c r="B21" s="145" t="str">
        <f t="shared" si="0"/>
        <v>IU</v>
      </c>
      <c r="C21" s="496">
        <f>IF(D11="","-",+C20+1)</f>
        <v>2017</v>
      </c>
      <c r="D21" s="615">
        <v>4561942.6894552382</v>
      </c>
      <c r="E21" s="614">
        <v>94378.250117010364</v>
      </c>
      <c r="F21" s="615">
        <v>4467564.4393382277</v>
      </c>
      <c r="G21" s="614">
        <v>590730.13217900996</v>
      </c>
      <c r="H21" s="618">
        <v>590730.13217900996</v>
      </c>
      <c r="I21" s="501">
        <f t="shared" ref="I21:I73" si="6">H21-G21</f>
        <v>0</v>
      </c>
      <c r="J21" s="501"/>
      <c r="K21" s="593">
        <f t="shared" si="1"/>
        <v>590730.13217900996</v>
      </c>
      <c r="L21" s="597">
        <f>IF(K21&lt;&gt;0,+G21-K21,0)</f>
        <v>0</v>
      </c>
      <c r="M21" s="593">
        <f t="shared" si="3"/>
        <v>590730.13217900996</v>
      </c>
      <c r="N21" s="505">
        <f>IF(M21&lt;&gt;0,+H21-M21,0)</f>
        <v>0</v>
      </c>
      <c r="O21" s="505">
        <f>+N21-L21</f>
        <v>0</v>
      </c>
      <c r="P21" s="279"/>
      <c r="R21" s="244"/>
      <c r="S21" s="244"/>
      <c r="T21" s="244"/>
      <c r="U21" s="244"/>
    </row>
    <row r="22" spans="2:21" ht="12.5">
      <c r="B22" s="145" t="str">
        <f t="shared" si="0"/>
        <v>IU</v>
      </c>
      <c r="C22" s="496">
        <f>IF(D11="","-",+C21+1)</f>
        <v>2018</v>
      </c>
      <c r="D22" s="615"/>
      <c r="E22" s="614"/>
      <c r="F22" s="615"/>
      <c r="G22" s="614"/>
      <c r="H22" s="618"/>
      <c r="I22" s="501">
        <v>0</v>
      </c>
      <c r="J22" s="501"/>
      <c r="K22" s="593">
        <f t="shared" ref="K22" si="7">G22</f>
        <v>0</v>
      </c>
      <c r="L22" s="597">
        <f>IF(K22&lt;&gt;0,+G22-K22,0)</f>
        <v>0</v>
      </c>
      <c r="M22" s="593">
        <f t="shared" ref="M22" si="8">H22</f>
        <v>0</v>
      </c>
      <c r="N22" s="505">
        <f>IF(M22&lt;&gt;0,+H22-M22,0)</f>
        <v>0</v>
      </c>
      <c r="O22" s="505">
        <f>+N22-L22</f>
        <v>0</v>
      </c>
      <c r="P22" s="279"/>
      <c r="R22" s="244"/>
      <c r="S22" s="244"/>
      <c r="T22" s="244"/>
      <c r="U22" s="244"/>
    </row>
    <row r="23" spans="2:21" ht="12.5">
      <c r="B23" s="145" t="str">
        <f t="shared" si="0"/>
        <v/>
      </c>
      <c r="C23" s="496">
        <f>IF(D11="","-",+C22+1)</f>
        <v>2019</v>
      </c>
      <c r="D23" s="509">
        <v>0</v>
      </c>
      <c r="E23" s="510">
        <f t="shared" ref="E23" si="9">IF(+$I$14&lt;F22,$I$14,D23)</f>
        <v>0</v>
      </c>
      <c r="F23" s="511">
        <f t="shared" ref="F23" si="10">+D23-E23</f>
        <v>0</v>
      </c>
      <c r="G23" s="512">
        <f t="shared" ref="G23" si="11">(D23+F23)/2*I$12+E23</f>
        <v>0</v>
      </c>
      <c r="H23" s="478">
        <f t="shared" ref="H23" si="12">+(D23+F23)/2*I$13+E23</f>
        <v>0</v>
      </c>
      <c r="I23" s="501">
        <f t="shared" si="6"/>
        <v>0</v>
      </c>
      <c r="J23" s="501"/>
      <c r="K23" s="513"/>
      <c r="L23" s="505">
        <f t="shared" si="2"/>
        <v>0</v>
      </c>
      <c r="M23" s="513"/>
      <c r="N23" s="505">
        <f t="shared" si="4"/>
        <v>0</v>
      </c>
      <c r="O23" s="505">
        <f t="shared" si="5"/>
        <v>0</v>
      </c>
      <c r="P23" s="279"/>
      <c r="R23" s="244"/>
      <c r="S23" s="244"/>
      <c r="T23" s="244"/>
      <c r="U23" s="244"/>
    </row>
    <row r="24" spans="2:21" ht="12.5">
      <c r="B24" s="145" t="str">
        <f t="shared" si="0"/>
        <v/>
      </c>
      <c r="C24" s="496">
        <f>IF(D11="","-",+C23+1)</f>
        <v>2020</v>
      </c>
      <c r="D24" s="509">
        <v>0</v>
      </c>
      <c r="E24" s="510">
        <f t="shared" ref="E24:E73" si="13">IF(+$I$14&lt;F23,$I$14,D24)</f>
        <v>0</v>
      </c>
      <c r="F24" s="511">
        <f t="shared" ref="F24:F73" si="14">+D24-E24</f>
        <v>0</v>
      </c>
      <c r="G24" s="512">
        <f t="shared" ref="G24:G73" si="15">(D24+F24)/2*I$12+E24</f>
        <v>0</v>
      </c>
      <c r="H24" s="478">
        <f t="shared" ref="H24:H73" si="16">+(D24+F24)/2*I$13+E24</f>
        <v>0</v>
      </c>
      <c r="I24" s="501">
        <f t="shared" si="6"/>
        <v>0</v>
      </c>
      <c r="J24" s="501"/>
      <c r="K24" s="513"/>
      <c r="L24" s="505">
        <f t="shared" si="2"/>
        <v>0</v>
      </c>
      <c r="M24" s="513"/>
      <c r="N24" s="505">
        <f t="shared" si="4"/>
        <v>0</v>
      </c>
      <c r="O24" s="505">
        <f t="shared" si="5"/>
        <v>0</v>
      </c>
      <c r="P24" s="279"/>
      <c r="R24" s="244"/>
      <c r="S24" s="244"/>
      <c r="T24" s="244"/>
      <c r="U24" s="244"/>
    </row>
    <row r="25" spans="2:21" ht="12.5">
      <c r="B25" s="145" t="str">
        <f t="shared" si="0"/>
        <v/>
      </c>
      <c r="C25" s="496">
        <f>IF(D11="","-",+C24+1)</f>
        <v>2021</v>
      </c>
      <c r="D25" s="509">
        <v>0</v>
      </c>
      <c r="E25" s="510">
        <f t="shared" si="13"/>
        <v>0</v>
      </c>
      <c r="F25" s="511">
        <f t="shared" si="14"/>
        <v>0</v>
      </c>
      <c r="G25" s="512">
        <f t="shared" si="15"/>
        <v>0</v>
      </c>
      <c r="H25" s="478">
        <f t="shared" si="16"/>
        <v>0</v>
      </c>
      <c r="I25" s="501">
        <f t="shared" si="6"/>
        <v>0</v>
      </c>
      <c r="J25" s="501"/>
      <c r="K25" s="513"/>
      <c r="L25" s="505">
        <f t="shared" si="2"/>
        <v>0</v>
      </c>
      <c r="M25" s="513"/>
      <c r="N25" s="505">
        <f t="shared" si="4"/>
        <v>0</v>
      </c>
      <c r="O25" s="505">
        <f t="shared" si="5"/>
        <v>0</v>
      </c>
      <c r="P25" s="279"/>
      <c r="R25" s="244"/>
      <c r="S25" s="244"/>
      <c r="T25" s="244"/>
      <c r="U25" s="244"/>
    </row>
    <row r="26" spans="2:21" ht="12.5">
      <c r="B26" s="145" t="str">
        <f t="shared" si="0"/>
        <v/>
      </c>
      <c r="C26" s="496">
        <f>IF(D11="","-",+C25+1)</f>
        <v>2022</v>
      </c>
      <c r="D26" s="509">
        <v>0</v>
      </c>
      <c r="E26" s="510">
        <f t="shared" si="13"/>
        <v>0</v>
      </c>
      <c r="F26" s="511">
        <f t="shared" si="14"/>
        <v>0</v>
      </c>
      <c r="G26" s="512">
        <f t="shared" si="15"/>
        <v>0</v>
      </c>
      <c r="H26" s="478">
        <f t="shared" si="16"/>
        <v>0</v>
      </c>
      <c r="I26" s="501">
        <f t="shared" si="6"/>
        <v>0</v>
      </c>
      <c r="J26" s="501"/>
      <c r="K26" s="513"/>
      <c r="L26" s="505">
        <f t="shared" si="2"/>
        <v>0</v>
      </c>
      <c r="M26" s="513"/>
      <c r="N26" s="505">
        <f t="shared" si="4"/>
        <v>0</v>
      </c>
      <c r="O26" s="505">
        <f t="shared" si="5"/>
        <v>0</v>
      </c>
      <c r="P26" s="279"/>
      <c r="R26" s="244"/>
      <c r="S26" s="244"/>
      <c r="T26" s="244"/>
      <c r="U26" s="244"/>
    </row>
    <row r="27" spans="2:21" ht="12.5">
      <c r="B27" s="145" t="str">
        <f t="shared" si="0"/>
        <v/>
      </c>
      <c r="C27" s="496">
        <f>IF(D11="","-",+C26+1)</f>
        <v>2023</v>
      </c>
      <c r="D27" s="509">
        <v>0</v>
      </c>
      <c r="E27" s="510">
        <f t="shared" si="13"/>
        <v>0</v>
      </c>
      <c r="F27" s="511">
        <f t="shared" si="14"/>
        <v>0</v>
      </c>
      <c r="G27" s="512">
        <f t="shared" si="15"/>
        <v>0</v>
      </c>
      <c r="H27" s="478">
        <f t="shared" si="16"/>
        <v>0</v>
      </c>
      <c r="I27" s="501">
        <f t="shared" si="6"/>
        <v>0</v>
      </c>
      <c r="J27" s="501"/>
      <c r="K27" s="513"/>
      <c r="L27" s="505">
        <f t="shared" si="2"/>
        <v>0</v>
      </c>
      <c r="M27" s="513"/>
      <c r="N27" s="505">
        <f t="shared" si="4"/>
        <v>0</v>
      </c>
      <c r="O27" s="505">
        <f t="shared" si="5"/>
        <v>0</v>
      </c>
      <c r="P27" s="279"/>
      <c r="R27" s="244"/>
      <c r="S27" s="244"/>
      <c r="T27" s="244"/>
      <c r="U27" s="244"/>
    </row>
    <row r="28" spans="2:21" ht="12.5">
      <c r="B28" s="145" t="str">
        <f t="shared" si="0"/>
        <v/>
      </c>
      <c r="C28" s="496">
        <f>IF(D11="","-",+C27+1)</f>
        <v>2024</v>
      </c>
      <c r="D28" s="509">
        <v>0</v>
      </c>
      <c r="E28" s="510">
        <f t="shared" si="13"/>
        <v>0</v>
      </c>
      <c r="F28" s="511">
        <f t="shared" si="14"/>
        <v>0</v>
      </c>
      <c r="G28" s="512">
        <f t="shared" si="15"/>
        <v>0</v>
      </c>
      <c r="H28" s="478">
        <f t="shared" si="16"/>
        <v>0</v>
      </c>
      <c r="I28" s="501">
        <f t="shared" si="6"/>
        <v>0</v>
      </c>
      <c r="J28" s="501"/>
      <c r="K28" s="513"/>
      <c r="L28" s="505">
        <f t="shared" si="2"/>
        <v>0</v>
      </c>
      <c r="M28" s="513"/>
      <c r="N28" s="505">
        <f t="shared" si="4"/>
        <v>0</v>
      </c>
      <c r="O28" s="505">
        <f t="shared" si="5"/>
        <v>0</v>
      </c>
      <c r="P28" s="279"/>
      <c r="R28" s="244"/>
      <c r="S28" s="244"/>
      <c r="T28" s="244"/>
      <c r="U28" s="244"/>
    </row>
    <row r="29" spans="2:21" ht="12.5">
      <c r="B29" s="145" t="str">
        <f t="shared" si="0"/>
        <v/>
      </c>
      <c r="C29" s="496">
        <f>IF(D11="","-",+C28+1)</f>
        <v>2025</v>
      </c>
      <c r="D29" s="509">
        <v>0</v>
      </c>
      <c r="E29" s="510">
        <f t="shared" si="13"/>
        <v>0</v>
      </c>
      <c r="F29" s="511">
        <f t="shared" si="14"/>
        <v>0</v>
      </c>
      <c r="G29" s="512">
        <f t="shared" si="15"/>
        <v>0</v>
      </c>
      <c r="H29" s="478">
        <f t="shared" si="16"/>
        <v>0</v>
      </c>
      <c r="I29" s="501">
        <f t="shared" si="6"/>
        <v>0</v>
      </c>
      <c r="J29" s="501"/>
      <c r="K29" s="513"/>
      <c r="L29" s="505">
        <f t="shared" si="2"/>
        <v>0</v>
      </c>
      <c r="M29" s="513"/>
      <c r="N29" s="505">
        <f t="shared" si="4"/>
        <v>0</v>
      </c>
      <c r="O29" s="505">
        <f t="shared" si="5"/>
        <v>0</v>
      </c>
      <c r="P29" s="279"/>
      <c r="R29" s="244"/>
      <c r="S29" s="244"/>
      <c r="T29" s="244"/>
      <c r="U29" s="244"/>
    </row>
    <row r="30" spans="2:21" ht="12.5">
      <c r="B30" s="145" t="str">
        <f t="shared" si="0"/>
        <v/>
      </c>
      <c r="C30" s="496">
        <f>IF(D11="","-",+C29+1)</f>
        <v>2026</v>
      </c>
      <c r="D30" s="509">
        <v>0</v>
      </c>
      <c r="E30" s="510">
        <f t="shared" si="13"/>
        <v>0</v>
      </c>
      <c r="F30" s="511">
        <f t="shared" si="14"/>
        <v>0</v>
      </c>
      <c r="G30" s="512">
        <f t="shared" si="15"/>
        <v>0</v>
      </c>
      <c r="H30" s="478">
        <f t="shared" si="16"/>
        <v>0</v>
      </c>
      <c r="I30" s="501">
        <f t="shared" si="6"/>
        <v>0</v>
      </c>
      <c r="J30" s="501"/>
      <c r="K30" s="513"/>
      <c r="L30" s="505">
        <f t="shared" si="2"/>
        <v>0</v>
      </c>
      <c r="M30" s="513"/>
      <c r="N30" s="505">
        <f t="shared" si="4"/>
        <v>0</v>
      </c>
      <c r="O30" s="505">
        <f t="shared" si="5"/>
        <v>0</v>
      </c>
      <c r="P30" s="279"/>
      <c r="R30" s="244"/>
      <c r="S30" s="244"/>
      <c r="T30" s="244"/>
      <c r="U30" s="244"/>
    </row>
    <row r="31" spans="2:21" ht="12.5">
      <c r="B31" s="145" t="str">
        <f t="shared" si="0"/>
        <v/>
      </c>
      <c r="C31" s="496">
        <f>IF(D11="","-",+C30+1)</f>
        <v>2027</v>
      </c>
      <c r="D31" s="509">
        <v>0</v>
      </c>
      <c r="E31" s="510">
        <f t="shared" si="13"/>
        <v>0</v>
      </c>
      <c r="F31" s="511">
        <f t="shared" si="14"/>
        <v>0</v>
      </c>
      <c r="G31" s="512">
        <f t="shared" si="15"/>
        <v>0</v>
      </c>
      <c r="H31" s="478">
        <f t="shared" si="16"/>
        <v>0</v>
      </c>
      <c r="I31" s="501">
        <f t="shared" si="6"/>
        <v>0</v>
      </c>
      <c r="J31" s="501"/>
      <c r="K31" s="513"/>
      <c r="L31" s="505">
        <f t="shared" si="2"/>
        <v>0</v>
      </c>
      <c r="M31" s="513"/>
      <c r="N31" s="505">
        <f t="shared" si="4"/>
        <v>0</v>
      </c>
      <c r="O31" s="505">
        <f t="shared" si="5"/>
        <v>0</v>
      </c>
      <c r="P31" s="279"/>
      <c r="Q31" s="221"/>
      <c r="R31" s="279"/>
      <c r="S31" s="279"/>
      <c r="T31" s="279"/>
      <c r="U31" s="244"/>
    </row>
    <row r="32" spans="2:21" ht="12.5">
      <c r="B32" s="145" t="str">
        <f t="shared" si="0"/>
        <v/>
      </c>
      <c r="C32" s="496">
        <f>IF(D12="","-",+C31+1)</f>
        <v>2028</v>
      </c>
      <c r="D32" s="509">
        <v>0</v>
      </c>
      <c r="E32" s="510">
        <f t="shared" si="13"/>
        <v>0</v>
      </c>
      <c r="F32" s="511">
        <f t="shared" si="14"/>
        <v>0</v>
      </c>
      <c r="G32" s="512">
        <f t="shared" si="15"/>
        <v>0</v>
      </c>
      <c r="H32" s="478">
        <f t="shared" si="16"/>
        <v>0</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2029</v>
      </c>
      <c r="D33" s="509">
        <v>0</v>
      </c>
      <c r="E33" s="510">
        <f t="shared" si="13"/>
        <v>0</v>
      </c>
      <c r="F33" s="511">
        <f t="shared" si="14"/>
        <v>0</v>
      </c>
      <c r="G33" s="512">
        <f t="shared" si="15"/>
        <v>0</v>
      </c>
      <c r="H33" s="478">
        <f t="shared" si="16"/>
        <v>0</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2030</v>
      </c>
      <c r="D34" s="509">
        <v>0</v>
      </c>
      <c r="E34" s="510">
        <f t="shared" si="13"/>
        <v>0</v>
      </c>
      <c r="F34" s="511">
        <f t="shared" si="14"/>
        <v>0</v>
      </c>
      <c r="G34" s="512">
        <f t="shared" si="15"/>
        <v>0</v>
      </c>
      <c r="H34" s="478">
        <f t="shared" si="16"/>
        <v>0</v>
      </c>
      <c r="I34" s="520">
        <f t="shared" si="6"/>
        <v>0</v>
      </c>
      <c r="J34" s="520"/>
      <c r="K34" s="521"/>
      <c r="L34" s="522">
        <f t="shared" si="2"/>
        <v>0</v>
      </c>
      <c r="M34" s="521"/>
      <c r="N34" s="522">
        <f t="shared" si="4"/>
        <v>0</v>
      </c>
      <c r="O34" s="522">
        <f t="shared" si="5"/>
        <v>0</v>
      </c>
      <c r="P34" s="523"/>
      <c r="Q34" s="217"/>
      <c r="R34" s="523"/>
      <c r="S34" s="523"/>
      <c r="T34" s="523"/>
      <c r="U34" s="244"/>
    </row>
    <row r="35" spans="2:21" ht="12.5">
      <c r="B35" s="145" t="str">
        <f t="shared" si="0"/>
        <v/>
      </c>
      <c r="C35" s="496">
        <f>IF(D11="","-",+C34+1)</f>
        <v>2031</v>
      </c>
      <c r="D35" s="509">
        <v>0</v>
      </c>
      <c r="E35" s="510">
        <f t="shared" si="13"/>
        <v>0</v>
      </c>
      <c r="F35" s="511">
        <f t="shared" si="14"/>
        <v>0</v>
      </c>
      <c r="G35" s="512">
        <f t="shared" si="15"/>
        <v>0</v>
      </c>
      <c r="H35" s="478">
        <f t="shared" si="16"/>
        <v>0</v>
      </c>
      <c r="I35" s="501">
        <f t="shared" si="6"/>
        <v>0</v>
      </c>
      <c r="J35" s="501"/>
      <c r="K35" s="513"/>
      <c r="L35" s="505">
        <f t="shared" si="2"/>
        <v>0</v>
      </c>
      <c r="M35" s="513"/>
      <c r="N35" s="505">
        <f t="shared" si="4"/>
        <v>0</v>
      </c>
      <c r="O35" s="505">
        <f t="shared" si="5"/>
        <v>0</v>
      </c>
      <c r="P35" s="279"/>
      <c r="R35" s="244"/>
      <c r="S35" s="244"/>
      <c r="T35" s="244"/>
      <c r="U35" s="244"/>
    </row>
    <row r="36" spans="2:21" ht="12.5">
      <c r="B36" s="145" t="str">
        <f t="shared" si="0"/>
        <v/>
      </c>
      <c r="C36" s="496">
        <f>IF(D11="","-",+C35+1)</f>
        <v>2032</v>
      </c>
      <c r="D36" s="509">
        <v>0</v>
      </c>
      <c r="E36" s="510">
        <f t="shared" si="13"/>
        <v>0</v>
      </c>
      <c r="F36" s="511">
        <f t="shared" si="14"/>
        <v>0</v>
      </c>
      <c r="G36" s="512">
        <f t="shared" si="15"/>
        <v>0</v>
      </c>
      <c r="H36" s="478">
        <f t="shared" si="16"/>
        <v>0</v>
      </c>
      <c r="I36" s="501">
        <f t="shared" si="6"/>
        <v>0</v>
      </c>
      <c r="J36" s="501"/>
      <c r="K36" s="513"/>
      <c r="L36" s="505">
        <f t="shared" si="2"/>
        <v>0</v>
      </c>
      <c r="M36" s="513"/>
      <c r="N36" s="505">
        <f t="shared" si="4"/>
        <v>0</v>
      </c>
      <c r="O36" s="505">
        <f t="shared" si="5"/>
        <v>0</v>
      </c>
      <c r="P36" s="279"/>
      <c r="R36" s="244"/>
      <c r="S36" s="244"/>
      <c r="T36" s="244"/>
      <c r="U36" s="244"/>
    </row>
    <row r="37" spans="2:21" ht="12.5">
      <c r="B37" s="145" t="str">
        <f t="shared" si="0"/>
        <v/>
      </c>
      <c r="C37" s="496">
        <f>IF(D11="","-",+C36+1)</f>
        <v>2033</v>
      </c>
      <c r="D37" s="509">
        <v>0</v>
      </c>
      <c r="E37" s="510">
        <f t="shared" si="13"/>
        <v>0</v>
      </c>
      <c r="F37" s="511">
        <f t="shared" si="14"/>
        <v>0</v>
      </c>
      <c r="G37" s="512">
        <f t="shared" si="15"/>
        <v>0</v>
      </c>
      <c r="H37" s="478">
        <f t="shared" si="16"/>
        <v>0</v>
      </c>
      <c r="I37" s="501">
        <f t="shared" si="6"/>
        <v>0</v>
      </c>
      <c r="J37" s="501"/>
      <c r="K37" s="513"/>
      <c r="L37" s="505">
        <f t="shared" si="2"/>
        <v>0</v>
      </c>
      <c r="M37" s="513"/>
      <c r="N37" s="505">
        <f t="shared" si="4"/>
        <v>0</v>
      </c>
      <c r="O37" s="505">
        <f t="shared" si="5"/>
        <v>0</v>
      </c>
      <c r="P37" s="279"/>
      <c r="R37" s="244"/>
      <c r="S37" s="244"/>
      <c r="T37" s="244"/>
      <c r="U37" s="244"/>
    </row>
    <row r="38" spans="2:21" ht="12.5">
      <c r="B38" s="145" t="str">
        <f t="shared" si="0"/>
        <v/>
      </c>
      <c r="C38" s="496">
        <f>IF(D11="","-",+C37+1)</f>
        <v>2034</v>
      </c>
      <c r="D38" s="509">
        <v>0</v>
      </c>
      <c r="E38" s="510">
        <f t="shared" si="13"/>
        <v>0</v>
      </c>
      <c r="F38" s="511">
        <f t="shared" si="14"/>
        <v>0</v>
      </c>
      <c r="G38" s="512">
        <f t="shared" si="15"/>
        <v>0</v>
      </c>
      <c r="H38" s="478">
        <f t="shared" si="16"/>
        <v>0</v>
      </c>
      <c r="I38" s="501">
        <f t="shared" si="6"/>
        <v>0</v>
      </c>
      <c r="J38" s="501"/>
      <c r="K38" s="513"/>
      <c r="L38" s="505">
        <f t="shared" si="2"/>
        <v>0</v>
      </c>
      <c r="M38" s="513"/>
      <c r="N38" s="505">
        <f t="shared" si="4"/>
        <v>0</v>
      </c>
      <c r="O38" s="505">
        <f t="shared" si="5"/>
        <v>0</v>
      </c>
      <c r="P38" s="279"/>
      <c r="R38" s="244"/>
      <c r="S38" s="244"/>
      <c r="T38" s="244"/>
      <c r="U38" s="244"/>
    </row>
    <row r="39" spans="2:21" ht="12.5">
      <c r="B39" s="145" t="str">
        <f t="shared" si="0"/>
        <v/>
      </c>
      <c r="C39" s="496">
        <f>IF(D11="","-",+C38+1)</f>
        <v>2035</v>
      </c>
      <c r="D39" s="509">
        <v>0</v>
      </c>
      <c r="E39" s="510">
        <f t="shared" si="13"/>
        <v>0</v>
      </c>
      <c r="F39" s="511">
        <f t="shared" si="14"/>
        <v>0</v>
      </c>
      <c r="G39" s="512">
        <f t="shared" si="15"/>
        <v>0</v>
      </c>
      <c r="H39" s="478">
        <f t="shared" si="16"/>
        <v>0</v>
      </c>
      <c r="I39" s="501">
        <f t="shared" si="6"/>
        <v>0</v>
      </c>
      <c r="J39" s="501"/>
      <c r="K39" s="513"/>
      <c r="L39" s="505">
        <f t="shared" si="2"/>
        <v>0</v>
      </c>
      <c r="M39" s="513"/>
      <c r="N39" s="505">
        <f t="shared" si="4"/>
        <v>0</v>
      </c>
      <c r="O39" s="505">
        <f t="shared" si="5"/>
        <v>0</v>
      </c>
      <c r="P39" s="279"/>
      <c r="R39" s="244"/>
      <c r="S39" s="244"/>
      <c r="T39" s="244"/>
      <c r="U39" s="244"/>
    </row>
    <row r="40" spans="2:21" ht="12.5">
      <c r="B40" s="145" t="str">
        <f t="shared" si="0"/>
        <v/>
      </c>
      <c r="C40" s="496">
        <f>IF(D11="","-",+C39+1)</f>
        <v>2036</v>
      </c>
      <c r="D40" s="509">
        <v>0</v>
      </c>
      <c r="E40" s="510">
        <f t="shared" si="13"/>
        <v>0</v>
      </c>
      <c r="F40" s="511">
        <f t="shared" si="14"/>
        <v>0</v>
      </c>
      <c r="G40" s="512">
        <f t="shared" si="15"/>
        <v>0</v>
      </c>
      <c r="H40" s="478">
        <f t="shared" si="16"/>
        <v>0</v>
      </c>
      <c r="I40" s="501">
        <f t="shared" si="6"/>
        <v>0</v>
      </c>
      <c r="J40" s="501"/>
      <c r="K40" s="513"/>
      <c r="L40" s="505">
        <f t="shared" si="2"/>
        <v>0</v>
      </c>
      <c r="M40" s="513"/>
      <c r="N40" s="505">
        <f t="shared" si="4"/>
        <v>0</v>
      </c>
      <c r="O40" s="505">
        <f t="shared" si="5"/>
        <v>0</v>
      </c>
      <c r="P40" s="279"/>
      <c r="R40" s="244"/>
      <c r="S40" s="244"/>
      <c r="T40" s="244"/>
      <c r="U40" s="244"/>
    </row>
    <row r="41" spans="2:21" ht="12.5">
      <c r="B41" s="145" t="str">
        <f t="shared" si="0"/>
        <v/>
      </c>
      <c r="C41" s="496">
        <f>IF(D12="","-",+C40+1)</f>
        <v>2037</v>
      </c>
      <c r="D41" s="509">
        <v>0</v>
      </c>
      <c r="E41" s="510">
        <f t="shared" si="13"/>
        <v>0</v>
      </c>
      <c r="F41" s="511">
        <f t="shared" si="14"/>
        <v>0</v>
      </c>
      <c r="G41" s="512">
        <f t="shared" si="15"/>
        <v>0</v>
      </c>
      <c r="H41" s="478">
        <f t="shared" si="16"/>
        <v>0</v>
      </c>
      <c r="I41" s="501">
        <f t="shared" si="6"/>
        <v>0</v>
      </c>
      <c r="J41" s="501"/>
      <c r="K41" s="513"/>
      <c r="L41" s="505">
        <f t="shared" si="2"/>
        <v>0</v>
      </c>
      <c r="M41" s="513"/>
      <c r="N41" s="505">
        <f t="shared" si="4"/>
        <v>0</v>
      </c>
      <c r="O41" s="505">
        <f t="shared" si="5"/>
        <v>0</v>
      </c>
      <c r="P41" s="279"/>
      <c r="R41" s="244"/>
      <c r="S41" s="244"/>
      <c r="T41" s="244"/>
      <c r="U41" s="244"/>
    </row>
    <row r="42" spans="2:21" ht="12.5">
      <c r="B42" s="145" t="str">
        <f t="shared" si="0"/>
        <v/>
      </c>
      <c r="C42" s="496">
        <f>IF(D13="","-",+C41+1)</f>
        <v>2038</v>
      </c>
      <c r="D42" s="509">
        <v>0</v>
      </c>
      <c r="E42" s="510">
        <f t="shared" si="13"/>
        <v>0</v>
      </c>
      <c r="F42" s="511">
        <f t="shared" si="14"/>
        <v>0</v>
      </c>
      <c r="G42" s="512">
        <f t="shared" si="15"/>
        <v>0</v>
      </c>
      <c r="H42" s="478">
        <f t="shared" si="16"/>
        <v>0</v>
      </c>
      <c r="I42" s="501">
        <f t="shared" si="6"/>
        <v>0</v>
      </c>
      <c r="J42" s="501"/>
      <c r="K42" s="513"/>
      <c r="L42" s="505">
        <f t="shared" si="2"/>
        <v>0</v>
      </c>
      <c r="M42" s="513"/>
      <c r="N42" s="505">
        <f t="shared" si="4"/>
        <v>0</v>
      </c>
      <c r="O42" s="505">
        <f t="shared" si="5"/>
        <v>0</v>
      </c>
      <c r="P42" s="279"/>
      <c r="R42" s="244"/>
      <c r="S42" s="244"/>
      <c r="T42" s="244"/>
      <c r="U42" s="244"/>
    </row>
    <row r="43" spans="2:21" ht="12.5">
      <c r="B43" s="145" t="str">
        <f t="shared" si="0"/>
        <v/>
      </c>
      <c r="C43" s="496">
        <f>IF(D11="","-",+C42+1)</f>
        <v>2039</v>
      </c>
      <c r="D43" s="509">
        <v>0</v>
      </c>
      <c r="E43" s="510">
        <f t="shared" si="13"/>
        <v>0</v>
      </c>
      <c r="F43" s="511">
        <f t="shared" si="14"/>
        <v>0</v>
      </c>
      <c r="G43" s="512">
        <f t="shared" si="15"/>
        <v>0</v>
      </c>
      <c r="H43" s="478">
        <f t="shared" si="16"/>
        <v>0</v>
      </c>
      <c r="I43" s="501">
        <f t="shared" si="6"/>
        <v>0</v>
      </c>
      <c r="J43" s="501"/>
      <c r="K43" s="513"/>
      <c r="L43" s="505">
        <f t="shared" si="2"/>
        <v>0</v>
      </c>
      <c r="M43" s="513"/>
      <c r="N43" s="505">
        <f t="shared" si="4"/>
        <v>0</v>
      </c>
      <c r="O43" s="505">
        <f t="shared" si="5"/>
        <v>0</v>
      </c>
      <c r="P43" s="279"/>
      <c r="R43" s="244"/>
      <c r="S43" s="244"/>
      <c r="T43" s="244"/>
      <c r="U43" s="244"/>
    </row>
    <row r="44" spans="2:21" ht="12.5">
      <c r="B44" s="145" t="str">
        <f t="shared" si="0"/>
        <v/>
      </c>
      <c r="C44" s="496">
        <f>IF(D11="","-",+C43+1)</f>
        <v>2040</v>
      </c>
      <c r="D44" s="509">
        <v>0</v>
      </c>
      <c r="E44" s="510">
        <f t="shared" si="13"/>
        <v>0</v>
      </c>
      <c r="F44" s="511">
        <f t="shared" si="14"/>
        <v>0</v>
      </c>
      <c r="G44" s="512">
        <f t="shared" si="15"/>
        <v>0</v>
      </c>
      <c r="H44" s="478">
        <f t="shared" si="16"/>
        <v>0</v>
      </c>
      <c r="I44" s="501">
        <f t="shared" si="6"/>
        <v>0</v>
      </c>
      <c r="J44" s="501"/>
      <c r="K44" s="513"/>
      <c r="L44" s="505">
        <f t="shared" si="2"/>
        <v>0</v>
      </c>
      <c r="M44" s="513"/>
      <c r="N44" s="505">
        <f t="shared" si="4"/>
        <v>0</v>
      </c>
      <c r="O44" s="505">
        <f t="shared" si="5"/>
        <v>0</v>
      </c>
      <c r="P44" s="279"/>
      <c r="R44" s="244"/>
      <c r="S44" s="244"/>
      <c r="T44" s="244"/>
      <c r="U44" s="244"/>
    </row>
    <row r="45" spans="2:21" ht="12.5">
      <c r="B45" s="145" t="str">
        <f t="shared" si="0"/>
        <v/>
      </c>
      <c r="C45" s="496">
        <f>IF(D11="","-",+C44+1)</f>
        <v>2041</v>
      </c>
      <c r="D45" s="509">
        <v>0</v>
      </c>
      <c r="E45" s="510">
        <f t="shared" si="13"/>
        <v>0</v>
      </c>
      <c r="F45" s="511">
        <f t="shared" si="14"/>
        <v>0</v>
      </c>
      <c r="G45" s="512">
        <f t="shared" si="15"/>
        <v>0</v>
      </c>
      <c r="H45" s="478">
        <f t="shared" si="16"/>
        <v>0</v>
      </c>
      <c r="I45" s="501">
        <f t="shared" si="6"/>
        <v>0</v>
      </c>
      <c r="J45" s="501"/>
      <c r="K45" s="513"/>
      <c r="L45" s="505">
        <f t="shared" si="2"/>
        <v>0</v>
      </c>
      <c r="M45" s="513"/>
      <c r="N45" s="505">
        <f t="shared" si="4"/>
        <v>0</v>
      </c>
      <c r="O45" s="505">
        <f t="shared" si="5"/>
        <v>0</v>
      </c>
      <c r="P45" s="279"/>
      <c r="R45" s="244"/>
      <c r="S45" s="244"/>
      <c r="T45" s="244"/>
      <c r="U45" s="244"/>
    </row>
    <row r="46" spans="2:21" ht="12.5">
      <c r="B46" s="145" t="str">
        <f t="shared" si="0"/>
        <v/>
      </c>
      <c r="C46" s="496">
        <f>IF(D11="","-",+C45+1)</f>
        <v>2042</v>
      </c>
      <c r="D46" s="509">
        <v>0</v>
      </c>
      <c r="E46" s="510">
        <f t="shared" si="13"/>
        <v>0</v>
      </c>
      <c r="F46" s="511">
        <f t="shared" si="14"/>
        <v>0</v>
      </c>
      <c r="G46" s="512">
        <f t="shared" si="15"/>
        <v>0</v>
      </c>
      <c r="H46" s="478">
        <f t="shared" si="16"/>
        <v>0</v>
      </c>
      <c r="I46" s="501">
        <f t="shared" si="6"/>
        <v>0</v>
      </c>
      <c r="J46" s="501"/>
      <c r="K46" s="513"/>
      <c r="L46" s="505">
        <f t="shared" si="2"/>
        <v>0</v>
      </c>
      <c r="M46" s="513"/>
      <c r="N46" s="505">
        <f t="shared" si="4"/>
        <v>0</v>
      </c>
      <c r="O46" s="505">
        <f t="shared" si="5"/>
        <v>0</v>
      </c>
      <c r="P46" s="279"/>
      <c r="R46" s="244"/>
      <c r="S46" s="244"/>
      <c r="T46" s="244"/>
      <c r="U46" s="244"/>
    </row>
    <row r="47" spans="2:21" ht="12.5">
      <c r="B47" s="145" t="str">
        <f t="shared" si="0"/>
        <v/>
      </c>
      <c r="C47" s="496">
        <f>IF(D11="","-",+C46+1)</f>
        <v>2043</v>
      </c>
      <c r="D47" s="509">
        <v>0</v>
      </c>
      <c r="E47" s="510">
        <f t="shared" si="13"/>
        <v>0</v>
      </c>
      <c r="F47" s="511">
        <f t="shared" si="14"/>
        <v>0</v>
      </c>
      <c r="G47" s="512">
        <f t="shared" si="15"/>
        <v>0</v>
      </c>
      <c r="H47" s="478">
        <f t="shared" si="16"/>
        <v>0</v>
      </c>
      <c r="I47" s="501">
        <f t="shared" si="6"/>
        <v>0</v>
      </c>
      <c r="J47" s="501"/>
      <c r="K47" s="513"/>
      <c r="L47" s="505">
        <f t="shared" si="2"/>
        <v>0</v>
      </c>
      <c r="M47" s="513"/>
      <c r="N47" s="505">
        <f t="shared" si="4"/>
        <v>0</v>
      </c>
      <c r="O47" s="505">
        <f t="shared" si="5"/>
        <v>0</v>
      </c>
      <c r="P47" s="279"/>
      <c r="R47" s="244"/>
      <c r="S47" s="244"/>
      <c r="T47" s="244"/>
      <c r="U47" s="244"/>
    </row>
    <row r="48" spans="2:21" ht="12.5">
      <c r="B48" s="145" t="str">
        <f t="shared" si="0"/>
        <v/>
      </c>
      <c r="C48" s="496">
        <f>IF(D11="","-",+C47+1)</f>
        <v>2044</v>
      </c>
      <c r="D48" s="509">
        <v>0</v>
      </c>
      <c r="E48" s="510">
        <f t="shared" si="13"/>
        <v>0</v>
      </c>
      <c r="F48" s="511">
        <f t="shared" si="14"/>
        <v>0</v>
      </c>
      <c r="G48" s="512">
        <f t="shared" si="15"/>
        <v>0</v>
      </c>
      <c r="H48" s="478">
        <f t="shared" si="16"/>
        <v>0</v>
      </c>
      <c r="I48" s="501">
        <f t="shared" si="6"/>
        <v>0</v>
      </c>
      <c r="J48" s="501"/>
      <c r="K48" s="513"/>
      <c r="L48" s="505">
        <f t="shared" si="2"/>
        <v>0</v>
      </c>
      <c r="M48" s="513"/>
      <c r="N48" s="505">
        <f t="shared" si="4"/>
        <v>0</v>
      </c>
      <c r="O48" s="505">
        <f t="shared" si="5"/>
        <v>0</v>
      </c>
      <c r="P48" s="279"/>
      <c r="R48" s="244"/>
      <c r="S48" s="244"/>
      <c r="T48" s="244"/>
      <c r="U48" s="244"/>
    </row>
    <row r="49" spans="2:21" ht="12.5">
      <c r="B49" s="145" t="str">
        <f t="shared" si="0"/>
        <v/>
      </c>
      <c r="C49" s="496">
        <f>IF(D11="","-",+C48+1)</f>
        <v>2045</v>
      </c>
      <c r="D49" s="509">
        <v>0</v>
      </c>
      <c r="E49" s="510">
        <f t="shared" si="13"/>
        <v>0</v>
      </c>
      <c r="F49" s="511">
        <f t="shared" si="14"/>
        <v>0</v>
      </c>
      <c r="G49" s="512">
        <f t="shared" si="15"/>
        <v>0</v>
      </c>
      <c r="H49" s="478">
        <f t="shared" si="16"/>
        <v>0</v>
      </c>
      <c r="I49" s="501">
        <f t="shared" si="6"/>
        <v>0</v>
      </c>
      <c r="J49" s="501"/>
      <c r="K49" s="513"/>
      <c r="L49" s="505">
        <f t="shared" si="2"/>
        <v>0</v>
      </c>
      <c r="M49" s="513"/>
      <c r="N49" s="505">
        <f t="shared" si="4"/>
        <v>0</v>
      </c>
      <c r="O49" s="505">
        <f t="shared" si="5"/>
        <v>0</v>
      </c>
      <c r="P49" s="279"/>
      <c r="R49" s="244"/>
      <c r="S49" s="244"/>
      <c r="T49" s="244"/>
      <c r="U49" s="244"/>
    </row>
    <row r="50" spans="2:21" ht="12.5">
      <c r="B50" s="145" t="str">
        <f t="shared" si="0"/>
        <v/>
      </c>
      <c r="C50" s="496">
        <f>IF(D11="","-",+C49+1)</f>
        <v>2046</v>
      </c>
      <c r="D50" s="509">
        <v>0</v>
      </c>
      <c r="E50" s="510">
        <f t="shared" si="13"/>
        <v>0</v>
      </c>
      <c r="F50" s="511">
        <f t="shared" si="14"/>
        <v>0</v>
      </c>
      <c r="G50" s="512">
        <f t="shared" si="15"/>
        <v>0</v>
      </c>
      <c r="H50" s="478">
        <f t="shared" si="16"/>
        <v>0</v>
      </c>
      <c r="I50" s="501">
        <f t="shared" si="6"/>
        <v>0</v>
      </c>
      <c r="J50" s="501"/>
      <c r="K50" s="513"/>
      <c r="L50" s="505">
        <f t="shared" si="2"/>
        <v>0</v>
      </c>
      <c r="M50" s="513"/>
      <c r="N50" s="505">
        <f t="shared" si="4"/>
        <v>0</v>
      </c>
      <c r="O50" s="505">
        <f t="shared" si="5"/>
        <v>0</v>
      </c>
      <c r="P50" s="279"/>
      <c r="R50" s="244"/>
      <c r="S50" s="244"/>
      <c r="T50" s="244"/>
      <c r="U50" s="244"/>
    </row>
    <row r="51" spans="2:21" ht="12.5">
      <c r="B51" s="145" t="str">
        <f t="shared" si="0"/>
        <v/>
      </c>
      <c r="C51" s="496">
        <f>IF(D11="","-",+C50+1)</f>
        <v>2047</v>
      </c>
      <c r="D51" s="509">
        <v>0</v>
      </c>
      <c r="E51" s="510">
        <f t="shared" si="13"/>
        <v>0</v>
      </c>
      <c r="F51" s="511">
        <f t="shared" si="14"/>
        <v>0</v>
      </c>
      <c r="G51" s="512">
        <f t="shared" si="15"/>
        <v>0</v>
      </c>
      <c r="H51" s="478">
        <f t="shared" si="16"/>
        <v>0</v>
      </c>
      <c r="I51" s="501">
        <f t="shared" si="6"/>
        <v>0</v>
      </c>
      <c r="J51" s="501"/>
      <c r="K51" s="513"/>
      <c r="L51" s="505">
        <f t="shared" si="2"/>
        <v>0</v>
      </c>
      <c r="M51" s="513"/>
      <c r="N51" s="505">
        <f t="shared" si="4"/>
        <v>0</v>
      </c>
      <c r="O51" s="505">
        <f t="shared" si="5"/>
        <v>0</v>
      </c>
      <c r="P51" s="279"/>
      <c r="R51" s="244"/>
      <c r="S51" s="244"/>
      <c r="T51" s="244"/>
      <c r="U51" s="244"/>
    </row>
    <row r="52" spans="2:21" ht="12.5">
      <c r="B52" s="145" t="str">
        <f t="shared" si="0"/>
        <v/>
      </c>
      <c r="C52" s="496">
        <f>IF(D11="","-",+C51+1)</f>
        <v>2048</v>
      </c>
      <c r="D52" s="509">
        <v>0</v>
      </c>
      <c r="E52" s="510">
        <f t="shared" si="13"/>
        <v>0</v>
      </c>
      <c r="F52" s="511">
        <f t="shared" si="14"/>
        <v>0</v>
      </c>
      <c r="G52" s="512">
        <f t="shared" si="15"/>
        <v>0</v>
      </c>
      <c r="H52" s="478">
        <f t="shared" si="16"/>
        <v>0</v>
      </c>
      <c r="I52" s="501">
        <f t="shared" si="6"/>
        <v>0</v>
      </c>
      <c r="J52" s="501"/>
      <c r="K52" s="513"/>
      <c r="L52" s="505">
        <f t="shared" si="2"/>
        <v>0</v>
      </c>
      <c r="M52" s="513"/>
      <c r="N52" s="505">
        <f t="shared" si="4"/>
        <v>0</v>
      </c>
      <c r="O52" s="505">
        <f t="shared" si="5"/>
        <v>0</v>
      </c>
      <c r="P52" s="279"/>
      <c r="R52" s="244"/>
      <c r="S52" s="244"/>
      <c r="T52" s="244"/>
      <c r="U52" s="244"/>
    </row>
    <row r="53" spans="2:21" ht="12.5">
      <c r="B53" s="145" t="str">
        <f t="shared" si="0"/>
        <v/>
      </c>
      <c r="C53" s="496">
        <f>IF(D11="","-",+C52+1)</f>
        <v>2049</v>
      </c>
      <c r="D53" s="509">
        <v>0</v>
      </c>
      <c r="E53" s="510">
        <f t="shared" si="13"/>
        <v>0</v>
      </c>
      <c r="F53" s="511">
        <f t="shared" si="14"/>
        <v>0</v>
      </c>
      <c r="G53" s="512">
        <f t="shared" si="15"/>
        <v>0</v>
      </c>
      <c r="H53" s="478">
        <f t="shared" si="16"/>
        <v>0</v>
      </c>
      <c r="I53" s="501">
        <f t="shared" si="6"/>
        <v>0</v>
      </c>
      <c r="J53" s="501"/>
      <c r="K53" s="513"/>
      <c r="L53" s="505">
        <f t="shared" si="2"/>
        <v>0</v>
      </c>
      <c r="M53" s="513"/>
      <c r="N53" s="505">
        <f t="shared" si="4"/>
        <v>0</v>
      </c>
      <c r="O53" s="505">
        <f t="shared" si="5"/>
        <v>0</v>
      </c>
      <c r="P53" s="279"/>
      <c r="R53" s="244"/>
      <c r="S53" s="244"/>
      <c r="T53" s="244"/>
      <c r="U53" s="244"/>
    </row>
    <row r="54" spans="2:21" ht="12.5">
      <c r="B54" s="145" t="str">
        <f t="shared" si="0"/>
        <v/>
      </c>
      <c r="C54" s="496">
        <f>IF(D11="","-",+C53+1)</f>
        <v>2050</v>
      </c>
      <c r="D54" s="509">
        <v>0</v>
      </c>
      <c r="E54" s="510">
        <f t="shared" si="13"/>
        <v>0</v>
      </c>
      <c r="F54" s="511">
        <f t="shared" si="14"/>
        <v>0</v>
      </c>
      <c r="G54" s="512">
        <f t="shared" si="15"/>
        <v>0</v>
      </c>
      <c r="H54" s="478">
        <f t="shared" si="16"/>
        <v>0</v>
      </c>
      <c r="I54" s="501">
        <f t="shared" si="6"/>
        <v>0</v>
      </c>
      <c r="J54" s="501"/>
      <c r="K54" s="513"/>
      <c r="L54" s="505">
        <f t="shared" si="2"/>
        <v>0</v>
      </c>
      <c r="M54" s="513"/>
      <c r="N54" s="505">
        <f t="shared" si="4"/>
        <v>0</v>
      </c>
      <c r="O54" s="505">
        <f t="shared" si="5"/>
        <v>0</v>
      </c>
      <c r="P54" s="279"/>
      <c r="R54" s="244"/>
      <c r="S54" s="244"/>
      <c r="T54" s="244"/>
      <c r="U54" s="244"/>
    </row>
    <row r="55" spans="2:21" ht="12.5">
      <c r="B55" s="145" t="str">
        <f t="shared" si="0"/>
        <v/>
      </c>
      <c r="C55" s="496">
        <f>IF(D11="","-",+C54+1)</f>
        <v>2051</v>
      </c>
      <c r="D55" s="509">
        <v>0</v>
      </c>
      <c r="E55" s="510">
        <f t="shared" si="13"/>
        <v>0</v>
      </c>
      <c r="F55" s="511">
        <f t="shared" si="14"/>
        <v>0</v>
      </c>
      <c r="G55" s="512">
        <f t="shared" si="15"/>
        <v>0</v>
      </c>
      <c r="H55" s="478">
        <f t="shared" si="16"/>
        <v>0</v>
      </c>
      <c r="I55" s="501">
        <f t="shared" si="6"/>
        <v>0</v>
      </c>
      <c r="J55" s="501"/>
      <c r="K55" s="513"/>
      <c r="L55" s="505">
        <f t="shared" si="2"/>
        <v>0</v>
      </c>
      <c r="M55" s="513"/>
      <c r="N55" s="505">
        <f t="shared" si="4"/>
        <v>0</v>
      </c>
      <c r="O55" s="505">
        <f t="shared" si="5"/>
        <v>0</v>
      </c>
      <c r="P55" s="279"/>
      <c r="R55" s="244"/>
      <c r="S55" s="244"/>
      <c r="T55" s="244"/>
      <c r="U55" s="244"/>
    </row>
    <row r="56" spans="2:21" ht="12.5">
      <c r="B56" s="145" t="str">
        <f t="shared" si="0"/>
        <v/>
      </c>
      <c r="C56" s="496">
        <f>IF(D11="","-",+C55+1)</f>
        <v>2052</v>
      </c>
      <c r="D56" s="509">
        <v>0</v>
      </c>
      <c r="E56" s="510">
        <f t="shared" si="13"/>
        <v>0</v>
      </c>
      <c r="F56" s="511">
        <f t="shared" si="14"/>
        <v>0</v>
      </c>
      <c r="G56" s="512">
        <f t="shared" si="15"/>
        <v>0</v>
      </c>
      <c r="H56" s="478">
        <f t="shared" si="16"/>
        <v>0</v>
      </c>
      <c r="I56" s="501">
        <f t="shared" si="6"/>
        <v>0</v>
      </c>
      <c r="J56" s="501"/>
      <c r="K56" s="513"/>
      <c r="L56" s="505">
        <f t="shared" si="2"/>
        <v>0</v>
      </c>
      <c r="M56" s="513"/>
      <c r="N56" s="505">
        <f t="shared" si="4"/>
        <v>0</v>
      </c>
      <c r="O56" s="505">
        <f t="shared" si="5"/>
        <v>0</v>
      </c>
      <c r="P56" s="279"/>
      <c r="R56" s="244"/>
      <c r="S56" s="244"/>
      <c r="T56" s="244"/>
      <c r="U56" s="244"/>
    </row>
    <row r="57" spans="2:21" ht="12.5">
      <c r="B57" s="145" t="str">
        <f t="shared" si="0"/>
        <v/>
      </c>
      <c r="C57" s="496">
        <f>IF(D11="","-",+C56+1)</f>
        <v>2053</v>
      </c>
      <c r="D57" s="509">
        <v>0</v>
      </c>
      <c r="E57" s="510">
        <f t="shared" si="13"/>
        <v>0</v>
      </c>
      <c r="F57" s="511">
        <f t="shared" si="14"/>
        <v>0</v>
      </c>
      <c r="G57" s="512">
        <f t="shared" si="15"/>
        <v>0</v>
      </c>
      <c r="H57" s="478">
        <f t="shared" si="16"/>
        <v>0</v>
      </c>
      <c r="I57" s="501">
        <f t="shared" si="6"/>
        <v>0</v>
      </c>
      <c r="J57" s="501"/>
      <c r="K57" s="513"/>
      <c r="L57" s="505">
        <f t="shared" si="2"/>
        <v>0</v>
      </c>
      <c r="M57" s="513"/>
      <c r="N57" s="505">
        <f t="shared" si="4"/>
        <v>0</v>
      </c>
      <c r="O57" s="505">
        <f t="shared" si="5"/>
        <v>0</v>
      </c>
      <c r="P57" s="279"/>
      <c r="R57" s="244"/>
      <c r="S57" s="244"/>
      <c r="T57" s="244"/>
      <c r="U57" s="244"/>
    </row>
    <row r="58" spans="2:21" ht="12.5">
      <c r="B58" s="145" t="str">
        <f t="shared" si="0"/>
        <v/>
      </c>
      <c r="C58" s="496">
        <f>IF(D11="","-",+C57+1)</f>
        <v>2054</v>
      </c>
      <c r="D58" s="509">
        <v>0</v>
      </c>
      <c r="E58" s="510">
        <f t="shared" si="13"/>
        <v>0</v>
      </c>
      <c r="F58" s="511">
        <f t="shared" si="14"/>
        <v>0</v>
      </c>
      <c r="G58" s="512">
        <f t="shared" si="15"/>
        <v>0</v>
      </c>
      <c r="H58" s="478">
        <f t="shared" si="16"/>
        <v>0</v>
      </c>
      <c r="I58" s="501">
        <f t="shared" si="6"/>
        <v>0</v>
      </c>
      <c r="J58" s="501"/>
      <c r="K58" s="513"/>
      <c r="L58" s="505">
        <f t="shared" si="2"/>
        <v>0</v>
      </c>
      <c r="M58" s="513"/>
      <c r="N58" s="505">
        <f t="shared" si="4"/>
        <v>0</v>
      </c>
      <c r="O58" s="505">
        <f t="shared" si="5"/>
        <v>0</v>
      </c>
      <c r="P58" s="279"/>
      <c r="R58" s="244"/>
      <c r="S58" s="244"/>
      <c r="T58" s="244"/>
      <c r="U58" s="244"/>
    </row>
    <row r="59" spans="2:21" ht="12.5">
      <c r="B59" s="145" t="str">
        <f t="shared" si="0"/>
        <v/>
      </c>
      <c r="C59" s="496">
        <f>IF(D11="","-",+C58+1)</f>
        <v>2055</v>
      </c>
      <c r="D59" s="509">
        <v>0</v>
      </c>
      <c r="E59" s="510">
        <f t="shared" si="13"/>
        <v>0</v>
      </c>
      <c r="F59" s="511">
        <f t="shared" si="14"/>
        <v>0</v>
      </c>
      <c r="G59" s="512">
        <f t="shared" si="15"/>
        <v>0</v>
      </c>
      <c r="H59" s="478">
        <f t="shared" si="16"/>
        <v>0</v>
      </c>
      <c r="I59" s="501">
        <f t="shared" si="6"/>
        <v>0</v>
      </c>
      <c r="J59" s="501"/>
      <c r="K59" s="513"/>
      <c r="L59" s="505">
        <f t="shared" si="2"/>
        <v>0</v>
      </c>
      <c r="M59" s="513"/>
      <c r="N59" s="505">
        <f t="shared" si="4"/>
        <v>0</v>
      </c>
      <c r="O59" s="505">
        <f t="shared" si="5"/>
        <v>0</v>
      </c>
      <c r="P59" s="279"/>
      <c r="R59" s="244"/>
      <c r="S59" s="244"/>
      <c r="T59" s="244"/>
      <c r="U59" s="244"/>
    </row>
    <row r="60" spans="2:21" ht="12.5">
      <c r="B60" s="145" t="str">
        <f t="shared" si="0"/>
        <v/>
      </c>
      <c r="C60" s="496">
        <f>IF(D11="","-",+C59+1)</f>
        <v>2056</v>
      </c>
      <c r="D60" s="509">
        <v>0</v>
      </c>
      <c r="E60" s="510">
        <f t="shared" si="13"/>
        <v>0</v>
      </c>
      <c r="F60" s="511">
        <f t="shared" si="14"/>
        <v>0</v>
      </c>
      <c r="G60" s="512">
        <f t="shared" si="15"/>
        <v>0</v>
      </c>
      <c r="H60" s="478">
        <f t="shared" si="16"/>
        <v>0</v>
      </c>
      <c r="I60" s="501">
        <f t="shared" si="6"/>
        <v>0</v>
      </c>
      <c r="J60" s="501"/>
      <c r="K60" s="513"/>
      <c r="L60" s="505">
        <f t="shared" si="2"/>
        <v>0</v>
      </c>
      <c r="M60" s="513"/>
      <c r="N60" s="505">
        <f t="shared" si="4"/>
        <v>0</v>
      </c>
      <c r="O60" s="505">
        <f t="shared" si="5"/>
        <v>0</v>
      </c>
      <c r="P60" s="279"/>
      <c r="R60" s="244"/>
      <c r="S60" s="244"/>
      <c r="T60" s="244"/>
      <c r="U60" s="244"/>
    </row>
    <row r="61" spans="2:21" ht="12.5">
      <c r="B61" s="145" t="str">
        <f t="shared" si="0"/>
        <v/>
      </c>
      <c r="C61" s="496">
        <f>IF(D11="","-",+C60+1)</f>
        <v>2057</v>
      </c>
      <c r="D61" s="509">
        <v>0</v>
      </c>
      <c r="E61" s="510">
        <f t="shared" si="13"/>
        <v>0</v>
      </c>
      <c r="F61" s="511">
        <f t="shared" si="14"/>
        <v>0</v>
      </c>
      <c r="G61" s="512">
        <f t="shared" si="15"/>
        <v>0</v>
      </c>
      <c r="H61" s="478">
        <f t="shared" si="16"/>
        <v>0</v>
      </c>
      <c r="I61" s="501">
        <f t="shared" si="6"/>
        <v>0</v>
      </c>
      <c r="J61" s="501"/>
      <c r="K61" s="513"/>
      <c r="L61" s="505">
        <f t="shared" si="2"/>
        <v>0</v>
      </c>
      <c r="M61" s="513"/>
      <c r="N61" s="505">
        <f t="shared" si="4"/>
        <v>0</v>
      </c>
      <c r="O61" s="505">
        <f t="shared" si="5"/>
        <v>0</v>
      </c>
      <c r="P61" s="279"/>
      <c r="R61" s="244"/>
      <c r="S61" s="244"/>
      <c r="T61" s="244"/>
      <c r="U61" s="244"/>
    </row>
    <row r="62" spans="2:21" ht="12.5">
      <c r="B62" s="145" t="str">
        <f t="shared" si="0"/>
        <v/>
      </c>
      <c r="C62" s="496">
        <f>IF(D11="","-",+C61+1)</f>
        <v>2058</v>
      </c>
      <c r="D62" s="509">
        <v>0</v>
      </c>
      <c r="E62" s="510">
        <f t="shared" si="13"/>
        <v>0</v>
      </c>
      <c r="F62" s="511">
        <f t="shared" si="14"/>
        <v>0</v>
      </c>
      <c r="G62" s="512">
        <f t="shared" si="15"/>
        <v>0</v>
      </c>
      <c r="H62" s="478">
        <f t="shared" si="16"/>
        <v>0</v>
      </c>
      <c r="I62" s="501">
        <f t="shared" si="6"/>
        <v>0</v>
      </c>
      <c r="J62" s="501"/>
      <c r="K62" s="513"/>
      <c r="L62" s="505">
        <f t="shared" si="2"/>
        <v>0</v>
      </c>
      <c r="M62" s="513"/>
      <c r="N62" s="505">
        <f t="shared" si="4"/>
        <v>0</v>
      </c>
      <c r="O62" s="505">
        <f t="shared" si="5"/>
        <v>0</v>
      </c>
      <c r="P62" s="279"/>
      <c r="R62" s="244"/>
      <c r="S62" s="244"/>
      <c r="T62" s="244"/>
      <c r="U62" s="244"/>
    </row>
    <row r="63" spans="2:21" ht="12.5">
      <c r="B63" s="145" t="str">
        <f t="shared" si="0"/>
        <v/>
      </c>
      <c r="C63" s="496">
        <f>IF(D11="","-",+C62+1)</f>
        <v>2059</v>
      </c>
      <c r="D63" s="509">
        <v>0</v>
      </c>
      <c r="E63" s="510">
        <f t="shared" si="13"/>
        <v>0</v>
      </c>
      <c r="F63" s="511">
        <f t="shared" si="14"/>
        <v>0</v>
      </c>
      <c r="G63" s="512">
        <f t="shared" si="15"/>
        <v>0</v>
      </c>
      <c r="H63" s="478">
        <f t="shared" si="16"/>
        <v>0</v>
      </c>
      <c r="I63" s="501">
        <f t="shared" si="6"/>
        <v>0</v>
      </c>
      <c r="J63" s="501"/>
      <c r="K63" s="513"/>
      <c r="L63" s="505">
        <f t="shared" si="2"/>
        <v>0</v>
      </c>
      <c r="M63" s="513"/>
      <c r="N63" s="505">
        <f t="shared" si="4"/>
        <v>0</v>
      </c>
      <c r="O63" s="505">
        <f t="shared" si="5"/>
        <v>0</v>
      </c>
      <c r="P63" s="279"/>
      <c r="R63" s="244"/>
      <c r="S63" s="244"/>
      <c r="T63" s="244"/>
      <c r="U63" s="244"/>
    </row>
    <row r="64" spans="2:21" ht="12.5">
      <c r="B64" s="145" t="str">
        <f t="shared" si="0"/>
        <v/>
      </c>
      <c r="C64" s="496">
        <f>IF(D11="","-",+C63+1)</f>
        <v>2060</v>
      </c>
      <c r="D64" s="509">
        <v>0</v>
      </c>
      <c r="E64" s="510">
        <f t="shared" si="13"/>
        <v>0</v>
      </c>
      <c r="F64" s="511">
        <f t="shared" si="14"/>
        <v>0</v>
      </c>
      <c r="G64" s="512">
        <f t="shared" si="15"/>
        <v>0</v>
      </c>
      <c r="H64" s="478">
        <f t="shared" si="16"/>
        <v>0</v>
      </c>
      <c r="I64" s="501">
        <f t="shared" si="6"/>
        <v>0</v>
      </c>
      <c r="J64" s="501"/>
      <c r="K64" s="513"/>
      <c r="L64" s="505">
        <f t="shared" si="2"/>
        <v>0</v>
      </c>
      <c r="M64" s="513"/>
      <c r="N64" s="505">
        <f t="shared" si="4"/>
        <v>0</v>
      </c>
      <c r="O64" s="505">
        <f t="shared" si="5"/>
        <v>0</v>
      </c>
      <c r="P64" s="279"/>
      <c r="R64" s="244"/>
      <c r="S64" s="244"/>
      <c r="T64" s="244"/>
      <c r="U64" s="244"/>
    </row>
    <row r="65" spans="2:21" ht="12.5">
      <c r="B65" s="145" t="str">
        <f t="shared" si="0"/>
        <v/>
      </c>
      <c r="C65" s="496">
        <f>IF(D11="","-",+C64+1)</f>
        <v>2061</v>
      </c>
      <c r="D65" s="509">
        <v>0</v>
      </c>
      <c r="E65" s="510">
        <f t="shared" si="13"/>
        <v>0</v>
      </c>
      <c r="F65" s="511">
        <f t="shared" si="14"/>
        <v>0</v>
      </c>
      <c r="G65" s="512">
        <f t="shared" si="15"/>
        <v>0</v>
      </c>
      <c r="H65" s="478">
        <f t="shared" si="16"/>
        <v>0</v>
      </c>
      <c r="I65" s="501">
        <f t="shared" si="6"/>
        <v>0</v>
      </c>
      <c r="J65" s="501"/>
      <c r="K65" s="513"/>
      <c r="L65" s="505">
        <f t="shared" si="2"/>
        <v>0</v>
      </c>
      <c r="M65" s="513"/>
      <c r="N65" s="505">
        <f t="shared" si="4"/>
        <v>0</v>
      </c>
      <c r="O65" s="505">
        <f t="shared" si="5"/>
        <v>0</v>
      </c>
      <c r="P65" s="279"/>
      <c r="R65" s="244"/>
      <c r="S65" s="244"/>
      <c r="T65" s="244"/>
      <c r="U65" s="244"/>
    </row>
    <row r="66" spans="2:21" ht="12.5">
      <c r="B66" s="145" t="str">
        <f t="shared" si="0"/>
        <v/>
      </c>
      <c r="C66" s="496">
        <f>IF(D11="","-",+C65+1)</f>
        <v>2062</v>
      </c>
      <c r="D66" s="509">
        <v>0</v>
      </c>
      <c r="E66" s="510">
        <f t="shared" si="13"/>
        <v>0</v>
      </c>
      <c r="F66" s="511">
        <f t="shared" si="14"/>
        <v>0</v>
      </c>
      <c r="G66" s="512">
        <f t="shared" si="15"/>
        <v>0</v>
      </c>
      <c r="H66" s="478">
        <f t="shared" si="16"/>
        <v>0</v>
      </c>
      <c r="I66" s="501">
        <f t="shared" si="6"/>
        <v>0</v>
      </c>
      <c r="J66" s="501"/>
      <c r="K66" s="513"/>
      <c r="L66" s="505">
        <f t="shared" si="2"/>
        <v>0</v>
      </c>
      <c r="M66" s="513"/>
      <c r="N66" s="505">
        <f t="shared" si="4"/>
        <v>0</v>
      </c>
      <c r="O66" s="505">
        <f t="shared" si="5"/>
        <v>0</v>
      </c>
      <c r="P66" s="279"/>
      <c r="R66" s="244"/>
      <c r="S66" s="244"/>
      <c r="T66" s="244"/>
      <c r="U66" s="244"/>
    </row>
    <row r="67" spans="2:21" ht="12.5">
      <c r="B67" s="145" t="str">
        <f t="shared" si="0"/>
        <v/>
      </c>
      <c r="C67" s="496">
        <f>IF(D11="","-",+C66+1)</f>
        <v>2063</v>
      </c>
      <c r="D67" s="509">
        <v>0</v>
      </c>
      <c r="E67" s="510">
        <f t="shared" si="13"/>
        <v>0</v>
      </c>
      <c r="F67" s="511">
        <f t="shared" si="14"/>
        <v>0</v>
      </c>
      <c r="G67" s="512">
        <f t="shared" si="15"/>
        <v>0</v>
      </c>
      <c r="H67" s="478">
        <f t="shared" si="16"/>
        <v>0</v>
      </c>
      <c r="I67" s="501">
        <f t="shared" si="6"/>
        <v>0</v>
      </c>
      <c r="J67" s="501"/>
      <c r="K67" s="513"/>
      <c r="L67" s="505">
        <f t="shared" si="2"/>
        <v>0</v>
      </c>
      <c r="M67" s="513"/>
      <c r="N67" s="505">
        <f t="shared" si="4"/>
        <v>0</v>
      </c>
      <c r="O67" s="505">
        <f t="shared" si="5"/>
        <v>0</v>
      </c>
      <c r="P67" s="279"/>
      <c r="R67" s="244"/>
      <c r="S67" s="244"/>
      <c r="T67" s="244"/>
      <c r="U67" s="244"/>
    </row>
    <row r="68" spans="2:21" ht="12.5">
      <c r="B68" s="145" t="str">
        <f t="shared" si="0"/>
        <v/>
      </c>
      <c r="C68" s="496">
        <f>IF(D11="","-",+C67+1)</f>
        <v>2064</v>
      </c>
      <c r="D68" s="509">
        <v>0</v>
      </c>
      <c r="E68" s="510">
        <f t="shared" si="13"/>
        <v>0</v>
      </c>
      <c r="F68" s="511">
        <f t="shared" si="14"/>
        <v>0</v>
      </c>
      <c r="G68" s="512">
        <f t="shared" si="15"/>
        <v>0</v>
      </c>
      <c r="H68" s="478">
        <f t="shared" si="16"/>
        <v>0</v>
      </c>
      <c r="I68" s="501">
        <f t="shared" si="6"/>
        <v>0</v>
      </c>
      <c r="J68" s="501"/>
      <c r="K68" s="513"/>
      <c r="L68" s="505">
        <f t="shared" si="2"/>
        <v>0</v>
      </c>
      <c r="M68" s="513"/>
      <c r="N68" s="505">
        <f t="shared" si="4"/>
        <v>0</v>
      </c>
      <c r="O68" s="505">
        <f t="shared" si="5"/>
        <v>0</v>
      </c>
      <c r="P68" s="279"/>
      <c r="R68" s="244"/>
      <c r="S68" s="244"/>
      <c r="T68" s="244"/>
      <c r="U68" s="244"/>
    </row>
    <row r="69" spans="2:21" ht="12.5">
      <c r="B69" s="145" t="str">
        <f t="shared" si="0"/>
        <v/>
      </c>
      <c r="C69" s="496">
        <f>IF(D11="","-",+C68+1)</f>
        <v>2065</v>
      </c>
      <c r="D69" s="509">
        <v>0</v>
      </c>
      <c r="E69" s="510">
        <f t="shared" si="13"/>
        <v>0</v>
      </c>
      <c r="F69" s="511">
        <f t="shared" si="14"/>
        <v>0</v>
      </c>
      <c r="G69" s="512">
        <f t="shared" si="15"/>
        <v>0</v>
      </c>
      <c r="H69" s="478">
        <f t="shared" si="16"/>
        <v>0</v>
      </c>
      <c r="I69" s="501">
        <f t="shared" si="6"/>
        <v>0</v>
      </c>
      <c r="J69" s="501"/>
      <c r="K69" s="513"/>
      <c r="L69" s="505">
        <f t="shared" si="2"/>
        <v>0</v>
      </c>
      <c r="M69" s="513"/>
      <c r="N69" s="505">
        <f t="shared" si="4"/>
        <v>0</v>
      </c>
      <c r="O69" s="505">
        <f t="shared" si="5"/>
        <v>0</v>
      </c>
      <c r="P69" s="279"/>
      <c r="R69" s="244"/>
      <c r="S69" s="244"/>
      <c r="T69" s="244"/>
      <c r="U69" s="244"/>
    </row>
    <row r="70" spans="2:21" ht="12.5">
      <c r="B70" s="145" t="str">
        <f t="shared" si="0"/>
        <v/>
      </c>
      <c r="C70" s="496">
        <f>IF(D11="","-",+C69+1)</f>
        <v>2066</v>
      </c>
      <c r="D70" s="509">
        <v>0</v>
      </c>
      <c r="E70" s="510">
        <f t="shared" si="13"/>
        <v>0</v>
      </c>
      <c r="F70" s="511">
        <f t="shared" si="14"/>
        <v>0</v>
      </c>
      <c r="G70" s="512">
        <f t="shared" si="15"/>
        <v>0</v>
      </c>
      <c r="H70" s="478">
        <f t="shared" si="16"/>
        <v>0</v>
      </c>
      <c r="I70" s="501">
        <f t="shared" si="6"/>
        <v>0</v>
      </c>
      <c r="J70" s="501"/>
      <c r="K70" s="513"/>
      <c r="L70" s="505">
        <f t="shared" si="2"/>
        <v>0</v>
      </c>
      <c r="M70" s="513"/>
      <c r="N70" s="505">
        <f t="shared" si="4"/>
        <v>0</v>
      </c>
      <c r="O70" s="505">
        <f t="shared" si="5"/>
        <v>0</v>
      </c>
      <c r="P70" s="279"/>
      <c r="R70" s="244"/>
      <c r="S70" s="244"/>
      <c r="T70" s="244"/>
      <c r="U70" s="244"/>
    </row>
    <row r="71" spans="2:21" ht="12.5">
      <c r="B71" s="145" t="str">
        <f t="shared" si="0"/>
        <v/>
      </c>
      <c r="C71" s="496">
        <f>IF(D11="","-",+C70+1)</f>
        <v>2067</v>
      </c>
      <c r="D71" s="509">
        <v>0</v>
      </c>
      <c r="E71" s="510">
        <f t="shared" si="13"/>
        <v>0</v>
      </c>
      <c r="F71" s="511">
        <f t="shared" si="14"/>
        <v>0</v>
      </c>
      <c r="G71" s="512">
        <f t="shared" si="15"/>
        <v>0</v>
      </c>
      <c r="H71" s="478">
        <f t="shared" si="16"/>
        <v>0</v>
      </c>
      <c r="I71" s="501">
        <f t="shared" si="6"/>
        <v>0</v>
      </c>
      <c r="J71" s="501"/>
      <c r="K71" s="513"/>
      <c r="L71" s="505">
        <f t="shared" si="2"/>
        <v>0</v>
      </c>
      <c r="M71" s="513"/>
      <c r="N71" s="505">
        <f t="shared" si="4"/>
        <v>0</v>
      </c>
      <c r="O71" s="505">
        <f t="shared" si="5"/>
        <v>0</v>
      </c>
      <c r="P71" s="279"/>
      <c r="R71" s="244"/>
      <c r="S71" s="244"/>
      <c r="T71" s="244"/>
      <c r="U71" s="244"/>
    </row>
    <row r="72" spans="2:21" ht="12.5">
      <c r="B72" s="145" t="str">
        <f t="shared" si="0"/>
        <v/>
      </c>
      <c r="C72" s="496">
        <f>IF(D11="","-",+C71+1)</f>
        <v>2068</v>
      </c>
      <c r="D72" s="509">
        <v>0</v>
      </c>
      <c r="E72" s="510">
        <f t="shared" si="13"/>
        <v>0</v>
      </c>
      <c r="F72" s="511">
        <f t="shared" si="14"/>
        <v>0</v>
      </c>
      <c r="G72" s="512">
        <f t="shared" si="15"/>
        <v>0</v>
      </c>
      <c r="H72" s="478">
        <f t="shared" si="16"/>
        <v>0</v>
      </c>
      <c r="I72" s="501">
        <f t="shared" si="6"/>
        <v>0</v>
      </c>
      <c r="J72" s="501"/>
      <c r="K72" s="513"/>
      <c r="L72" s="505">
        <f t="shared" si="2"/>
        <v>0</v>
      </c>
      <c r="M72" s="513"/>
      <c r="N72" s="505">
        <f t="shared" si="4"/>
        <v>0</v>
      </c>
      <c r="O72" s="505">
        <f t="shared" si="5"/>
        <v>0</v>
      </c>
      <c r="P72" s="279"/>
      <c r="R72" s="244"/>
      <c r="S72" s="244"/>
      <c r="T72" s="244"/>
      <c r="U72" s="244"/>
    </row>
    <row r="73" spans="2:21" ht="13" thickBot="1">
      <c r="B73" s="145" t="str">
        <f t="shared" si="0"/>
        <v/>
      </c>
      <c r="C73" s="525">
        <f>IF(D11="","-",+C72+1)</f>
        <v>2069</v>
      </c>
      <c r="D73" s="509">
        <v>0</v>
      </c>
      <c r="E73" s="510">
        <f t="shared" si="13"/>
        <v>0</v>
      </c>
      <c r="F73" s="511">
        <f t="shared" si="14"/>
        <v>0</v>
      </c>
      <c r="G73" s="512">
        <f t="shared" si="15"/>
        <v>0</v>
      </c>
      <c r="H73" s="478">
        <f t="shared" si="16"/>
        <v>0</v>
      </c>
      <c r="I73" s="530">
        <f t="shared" si="6"/>
        <v>0</v>
      </c>
      <c r="J73" s="501"/>
      <c r="K73" s="531"/>
      <c r="L73" s="532">
        <f t="shared" si="2"/>
        <v>0</v>
      </c>
      <c r="M73" s="531"/>
      <c r="N73" s="532">
        <f t="shared" si="4"/>
        <v>0</v>
      </c>
      <c r="O73" s="532">
        <f t="shared" si="5"/>
        <v>0</v>
      </c>
      <c r="P73" s="279"/>
      <c r="R73" s="244"/>
      <c r="S73" s="244"/>
      <c r="T73" s="244"/>
      <c r="U73" s="244"/>
    </row>
    <row r="74" spans="2:21" ht="12.5">
      <c r="C74" s="350" t="s">
        <v>75</v>
      </c>
      <c r="D74" s="295"/>
      <c r="E74" s="295">
        <f>SUM(E17:E73)</f>
        <v>332473.56066177262</v>
      </c>
      <c r="F74" s="295"/>
      <c r="G74" s="295">
        <f>SUM(G17:G73)</f>
        <v>2202085.102043014</v>
      </c>
      <c r="H74" s="295">
        <f>SUM(H17:H73)</f>
        <v>2202085.102043014</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13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0</v>
      </c>
      <c r="N88" s="545">
        <f>IF(J93&lt;D11,0,VLOOKUP(J93,C17:O73,11))</f>
        <v>0</v>
      </c>
      <c r="O88" s="546">
        <f>+N88-M88</f>
        <v>0</v>
      </c>
      <c r="P88" s="244"/>
      <c r="Q88" s="244"/>
      <c r="R88" s="244"/>
      <c r="S88" s="244"/>
      <c r="T88" s="244"/>
      <c r="U88" s="244"/>
    </row>
    <row r="89" spans="1:21" ht="15.5">
      <c r="C89" s="634" t="s">
        <v>267</v>
      </c>
      <c r="D89" s="293"/>
      <c r="E89" s="244"/>
      <c r="F89" s="244"/>
      <c r="G89" s="244"/>
      <c r="H89" s="244"/>
      <c r="I89" s="450"/>
      <c r="J89" s="450"/>
      <c r="K89" s="547"/>
      <c r="L89" s="548" t="s">
        <v>254</v>
      </c>
      <c r="M89" s="549">
        <f>IF(J93&lt;D11,0,VLOOKUP(J93,C100:P155,6))</f>
        <v>0</v>
      </c>
      <c r="N89" s="549">
        <f>IF(J93&lt;D11,0,VLOOKUP(J93,C100:P155,7))</f>
        <v>0</v>
      </c>
      <c r="O89" s="550">
        <f>+N89-M89</f>
        <v>0</v>
      </c>
      <c r="P89" s="244"/>
      <c r="Q89" s="244"/>
      <c r="R89" s="244"/>
      <c r="S89" s="244"/>
      <c r="T89" s="244"/>
      <c r="U89" s="244"/>
    </row>
    <row r="90" spans="1:21" ht="13.5" thickBot="1">
      <c r="C90" s="455" t="s">
        <v>82</v>
      </c>
      <c r="D90" s="551" t="str">
        <f>+D7</f>
        <v>Ellis 138 kV</v>
      </c>
      <c r="E90" s="244"/>
      <c r="F90" s="244"/>
      <c r="G90" s="244"/>
      <c r="H90" s="244"/>
      <c r="I90" s="326"/>
      <c r="J90" s="326"/>
      <c r="K90" s="552"/>
      <c r="L90" s="553" t="s">
        <v>135</v>
      </c>
      <c r="M90" s="554">
        <f>+M89-M88</f>
        <v>0</v>
      </c>
      <c r="N90" s="554">
        <f>+N89-N88</f>
        <v>0</v>
      </c>
      <c r="O90" s="555">
        <f>+O89-O88</f>
        <v>0</v>
      </c>
      <c r="P90" s="244"/>
      <c r="Q90" s="244"/>
      <c r="R90" s="244"/>
      <c r="S90" s="244"/>
      <c r="T90" s="244"/>
      <c r="U90" s="244"/>
    </row>
    <row r="91" spans="1:21" ht="13.5" thickBot="1">
      <c r="C91" s="533"/>
      <c r="D91" s="626" t="str">
        <f>IF(D8="","",D8)</f>
        <v>***Sch. 11 recovery commenced in 2015 rate year***</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TP2012055</v>
      </c>
      <c r="E92" s="559"/>
      <c r="F92" s="559"/>
      <c r="G92" s="559"/>
      <c r="H92" s="559"/>
      <c r="I92" s="559"/>
      <c r="J92" s="559"/>
      <c r="K92" s="561"/>
      <c r="P92" s="469"/>
      <c r="Q92" s="244"/>
      <c r="R92" s="244"/>
      <c r="S92" s="244"/>
      <c r="T92" s="244"/>
      <c r="U92" s="244"/>
    </row>
    <row r="93" spans="1:21" ht="13">
      <c r="C93" s="473" t="s">
        <v>49</v>
      </c>
      <c r="D93" s="471">
        <f>D10</f>
        <v>0</v>
      </c>
      <c r="E93" s="249" t="s">
        <v>84</v>
      </c>
      <c r="H93" s="409"/>
      <c r="I93" s="409"/>
      <c r="J93" s="472">
        <f>+'OKT.WS.G.BPU.ATRR.True-up'!M16</f>
        <v>2023</v>
      </c>
      <c r="K93" s="468"/>
      <c r="L93" s="295" t="s">
        <v>85</v>
      </c>
      <c r="P93" s="279"/>
      <c r="Q93" s="244"/>
      <c r="R93" s="244"/>
      <c r="S93" s="244"/>
      <c r="T93" s="244"/>
      <c r="U93" s="244"/>
    </row>
    <row r="94" spans="1:21" ht="12.5">
      <c r="C94" s="473" t="s">
        <v>52</v>
      </c>
      <c r="D94" s="562">
        <f>D11</f>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10</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0</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2013</v>
      </c>
      <c r="D100" s="350"/>
      <c r="E100" s="512"/>
      <c r="F100" s="511"/>
      <c r="G100" s="606"/>
      <c r="H100" s="606"/>
      <c r="I100" s="606"/>
      <c r="J100" s="505"/>
      <c r="K100" s="505"/>
      <c r="L100" s="502"/>
      <c r="M100" s="503">
        <f t="shared" ref="M100:M131" si="17">IF(L100&lt;&gt;0,+H100-L100,0)</f>
        <v>0</v>
      </c>
      <c r="N100" s="502"/>
      <c r="O100" s="504">
        <f t="shared" ref="O100:O131" si="18">IF(N100&lt;&gt;0,+I100-N100,0)</f>
        <v>0</v>
      </c>
      <c r="P100" s="504">
        <f t="shared" ref="P100:P131" si="19">+O100-M100</f>
        <v>0</v>
      </c>
      <c r="Q100" s="244"/>
      <c r="R100" s="244"/>
      <c r="S100" s="244"/>
      <c r="T100" s="244"/>
      <c r="U100" s="244"/>
    </row>
    <row r="101" spans="1:21" ht="12.5">
      <c r="C101" s="496">
        <f>IF(D94="","-",+C100+1)</f>
        <v>2014</v>
      </c>
      <c r="D101" s="350"/>
      <c r="E101" s="510"/>
      <c r="F101" s="511"/>
      <c r="G101" s="511"/>
      <c r="H101" s="627"/>
      <c r="I101" s="628"/>
      <c r="J101" s="505"/>
      <c r="K101" s="505"/>
      <c r="L101" s="507"/>
      <c r="M101" s="508">
        <f t="shared" si="17"/>
        <v>0</v>
      </c>
      <c r="N101" s="507"/>
      <c r="O101" s="505">
        <f t="shared" si="18"/>
        <v>0</v>
      </c>
      <c r="P101" s="505">
        <f t="shared" si="19"/>
        <v>0</v>
      </c>
      <c r="Q101" s="244"/>
      <c r="R101" s="244"/>
      <c r="S101" s="244"/>
      <c r="T101" s="244"/>
      <c r="U101" s="244"/>
    </row>
    <row r="102" spans="1:21" ht="12.5">
      <c r="B102" s="145" t="str">
        <f t="shared" ref="B102:B155" si="20">IF(D102=F101,"","IU")</f>
        <v>IU</v>
      </c>
      <c r="C102" s="496">
        <f>IF(D94="","-",+C101+1)</f>
        <v>2015</v>
      </c>
      <c r="D102" s="497">
        <v>4004216.6870407565</v>
      </c>
      <c r="E102" s="499">
        <v>85139.5</v>
      </c>
      <c r="F102" s="506">
        <v>3919077.1870407565</v>
      </c>
      <c r="G102" s="506">
        <v>3961646.9370407565</v>
      </c>
      <c r="H102" s="499">
        <v>526187.38978732098</v>
      </c>
      <c r="I102" s="500">
        <v>526187.38978732098</v>
      </c>
      <c r="J102" s="505">
        <v>0</v>
      </c>
      <c r="K102" s="505"/>
      <c r="L102" s="507">
        <f>H102</f>
        <v>526187.38978732098</v>
      </c>
      <c r="M102" s="505">
        <f>IF(L102&lt;&gt;0,+H102-L102,0)</f>
        <v>0</v>
      </c>
      <c r="N102" s="507">
        <f>I102</f>
        <v>526187.38978732098</v>
      </c>
      <c r="O102" s="505">
        <f t="shared" si="18"/>
        <v>0</v>
      </c>
      <c r="P102" s="505">
        <f t="shared" si="19"/>
        <v>0</v>
      </c>
      <c r="Q102" s="244"/>
      <c r="R102" s="244"/>
      <c r="S102" s="244"/>
      <c r="T102" s="244"/>
      <c r="U102" s="244"/>
    </row>
    <row r="103" spans="1:21" ht="12.5">
      <c r="B103" s="145" t="str">
        <f t="shared" si="20"/>
        <v>IU</v>
      </c>
      <c r="C103" s="496">
        <f>IF(D94="","-",+C102+1)</f>
        <v>2016</v>
      </c>
      <c r="D103" s="497">
        <v>4714898.5</v>
      </c>
      <c r="E103" s="499">
        <v>94118.392156862741</v>
      </c>
      <c r="F103" s="506">
        <v>4620780.1078431373</v>
      </c>
      <c r="G103" s="506">
        <v>4667839.3039215691</v>
      </c>
      <c r="H103" s="499">
        <v>599969.61415819218</v>
      </c>
      <c r="I103" s="500">
        <v>599969.61415819218</v>
      </c>
      <c r="J103" s="505">
        <f>+I103-H103</f>
        <v>0</v>
      </c>
      <c r="K103" s="505"/>
      <c r="L103" s="507">
        <f>H103</f>
        <v>599969.61415819218</v>
      </c>
      <c r="M103" s="505">
        <f>IF(L103&lt;&gt;0,+H103-L103,0)</f>
        <v>0</v>
      </c>
      <c r="N103" s="507">
        <f>I103</f>
        <v>599969.61415819218</v>
      </c>
      <c r="O103" s="505">
        <f>IF(N103&lt;&gt;0,+I103-N103,0)</f>
        <v>0</v>
      </c>
      <c r="P103" s="505">
        <f>+O103-M103</f>
        <v>0</v>
      </c>
      <c r="Q103" s="244"/>
      <c r="R103" s="244"/>
      <c r="S103" s="244"/>
      <c r="T103" s="244"/>
      <c r="U103" s="244"/>
    </row>
    <row r="104" spans="1:21" ht="12.5">
      <c r="B104" s="145" t="str">
        <f t="shared" si="20"/>
        <v>IU</v>
      </c>
      <c r="C104" s="496">
        <f>IF(D94="","-",+C103+1)</f>
        <v>2017</v>
      </c>
      <c r="D104" s="497">
        <v>4637856.1078431373</v>
      </c>
      <c r="E104" s="499">
        <v>120427.85</v>
      </c>
      <c r="F104" s="506">
        <v>4517428.2578431377</v>
      </c>
      <c r="G104" s="506">
        <v>4577642.1828431375</v>
      </c>
      <c r="H104" s="499">
        <v>657549.4515750818</v>
      </c>
      <c r="I104" s="500">
        <v>657549.4515750818</v>
      </c>
      <c r="J104" s="505">
        <v>0</v>
      </c>
      <c r="K104" s="505"/>
      <c r="L104" s="507">
        <f>H104</f>
        <v>657549.4515750818</v>
      </c>
      <c r="M104" s="505">
        <f>IF(L104&lt;&gt;0,+H104-L104,0)</f>
        <v>0</v>
      </c>
      <c r="N104" s="507">
        <f>I104</f>
        <v>657549.4515750818</v>
      </c>
      <c r="O104" s="505">
        <f>IF(N104&lt;&gt;0,+I104-N104,0)</f>
        <v>0</v>
      </c>
      <c r="P104" s="505">
        <f>+O104-M104</f>
        <v>0</v>
      </c>
      <c r="Q104" s="244"/>
      <c r="R104" s="244"/>
      <c r="S104" s="244"/>
      <c r="T104" s="244"/>
      <c r="U104" s="244"/>
    </row>
    <row r="105" spans="1:21" ht="12.5">
      <c r="B105" s="145" t="str">
        <f t="shared" si="20"/>
        <v/>
      </c>
      <c r="C105" s="496">
        <f>IF(D94="","-",+C104+1)</f>
        <v>2018</v>
      </c>
      <c r="D105" s="497">
        <v>4517428.2578431377</v>
      </c>
      <c r="E105" s="499">
        <v>133808.72222222222</v>
      </c>
      <c r="F105" s="506">
        <v>4383619.5356209157</v>
      </c>
      <c r="G105" s="506">
        <v>4450523.8967320267</v>
      </c>
      <c r="H105" s="499">
        <v>603616.92453524831</v>
      </c>
      <c r="I105" s="500">
        <v>603616.92453524831</v>
      </c>
      <c r="J105" s="505">
        <f t="shared" ref="J105:J155" si="21">+I105-H105</f>
        <v>0</v>
      </c>
      <c r="K105" s="505"/>
      <c r="L105" s="507">
        <f>H105</f>
        <v>603616.92453524831</v>
      </c>
      <c r="M105" s="505">
        <f>IF(L105&lt;&gt;0,+H105-L105,0)</f>
        <v>0</v>
      </c>
      <c r="N105" s="507">
        <f>I105</f>
        <v>603616.92453524831</v>
      </c>
      <c r="O105" s="505">
        <f>IF(N105&lt;&gt;0,+I105-N105,0)</f>
        <v>0</v>
      </c>
      <c r="P105" s="505">
        <f>+O105-M105</f>
        <v>0</v>
      </c>
      <c r="Q105" s="244"/>
      <c r="R105" s="244"/>
      <c r="S105" s="244"/>
      <c r="T105" s="244"/>
      <c r="U105" s="244"/>
    </row>
    <row r="106" spans="1:21" ht="12.5">
      <c r="B106" s="145" t="str">
        <f t="shared" si="20"/>
        <v>IU</v>
      </c>
      <c r="C106" s="496">
        <f>IF(D94="","-",+C105+1)</f>
        <v>2019</v>
      </c>
      <c r="D106" s="497"/>
      <c r="E106" s="499"/>
      <c r="F106" s="506"/>
      <c r="G106" s="506"/>
      <c r="H106" s="499"/>
      <c r="I106" s="500"/>
      <c r="J106" s="505">
        <f t="shared" si="21"/>
        <v>0</v>
      </c>
      <c r="K106" s="505"/>
      <c r="L106" s="507">
        <f>H106</f>
        <v>0</v>
      </c>
      <c r="M106" s="505">
        <f>IF(L106&lt;&gt;0,+H106-L106,0)</f>
        <v>0</v>
      </c>
      <c r="N106" s="507">
        <f>I106</f>
        <v>0</v>
      </c>
      <c r="O106" s="505">
        <f t="shared" si="18"/>
        <v>0</v>
      </c>
      <c r="P106" s="505">
        <f t="shared" si="19"/>
        <v>0</v>
      </c>
      <c r="Q106" s="244"/>
      <c r="R106" s="244"/>
      <c r="S106" s="244"/>
      <c r="T106" s="244"/>
      <c r="U106" s="244"/>
    </row>
    <row r="107" spans="1:21" ht="12.5">
      <c r="B107" s="145" t="str">
        <f t="shared" si="20"/>
        <v/>
      </c>
      <c r="C107" s="496">
        <f>IF(D94="","-",+C106+1)</f>
        <v>2020</v>
      </c>
      <c r="D107" s="350"/>
      <c r="E107" s="629"/>
      <c r="F107" s="511"/>
      <c r="G107" s="511"/>
      <c r="H107" s="645"/>
      <c r="I107" s="630"/>
      <c r="J107" s="505">
        <f t="shared" si="21"/>
        <v>0</v>
      </c>
      <c r="K107" s="505"/>
      <c r="L107" s="513"/>
      <c r="M107" s="505">
        <f t="shared" si="17"/>
        <v>0</v>
      </c>
      <c r="N107" s="513"/>
      <c r="O107" s="505">
        <f t="shared" si="18"/>
        <v>0</v>
      </c>
      <c r="P107" s="505">
        <f t="shared" si="19"/>
        <v>0</v>
      </c>
      <c r="Q107" s="244"/>
      <c r="R107" s="244"/>
      <c r="S107" s="244"/>
      <c r="T107" s="244"/>
      <c r="U107" s="244"/>
    </row>
    <row r="108" spans="1:21" ht="12.5">
      <c r="B108" s="145" t="str">
        <f t="shared" si="20"/>
        <v/>
      </c>
      <c r="C108" s="496">
        <f>IF(D94="","-",+C107+1)</f>
        <v>2021</v>
      </c>
      <c r="D108" s="350"/>
      <c r="E108" s="629"/>
      <c r="F108" s="511"/>
      <c r="G108" s="511"/>
      <c r="H108" s="645"/>
      <c r="I108" s="630"/>
      <c r="J108" s="505">
        <f t="shared" si="21"/>
        <v>0</v>
      </c>
      <c r="K108" s="505"/>
      <c r="L108" s="513"/>
      <c r="M108" s="505">
        <f t="shared" si="17"/>
        <v>0</v>
      </c>
      <c r="N108" s="513"/>
      <c r="O108" s="505">
        <f t="shared" si="18"/>
        <v>0</v>
      </c>
      <c r="P108" s="505">
        <f t="shared" si="19"/>
        <v>0</v>
      </c>
      <c r="Q108" s="244"/>
      <c r="R108" s="244"/>
      <c r="S108" s="244"/>
      <c r="T108" s="244"/>
      <c r="U108" s="244"/>
    </row>
    <row r="109" spans="1:21" ht="12.5">
      <c r="B109" s="145" t="str">
        <f t="shared" si="20"/>
        <v/>
      </c>
      <c r="C109" s="496">
        <f>IF(D94="","-",+C108+1)</f>
        <v>2022</v>
      </c>
      <c r="D109" s="350"/>
      <c r="E109" s="629"/>
      <c r="F109" s="511"/>
      <c r="G109" s="511"/>
      <c r="H109" s="645"/>
      <c r="I109" s="630"/>
      <c r="J109" s="505">
        <f t="shared" si="21"/>
        <v>0</v>
      </c>
      <c r="K109" s="505"/>
      <c r="L109" s="513"/>
      <c r="M109" s="505">
        <f t="shared" si="17"/>
        <v>0</v>
      </c>
      <c r="N109" s="513"/>
      <c r="O109" s="505">
        <f t="shared" si="18"/>
        <v>0</v>
      </c>
      <c r="P109" s="505">
        <f t="shared" si="19"/>
        <v>0</v>
      </c>
      <c r="Q109" s="244"/>
      <c r="R109" s="244"/>
      <c r="S109" s="244"/>
      <c r="T109" s="244"/>
      <c r="U109" s="244"/>
    </row>
    <row r="110" spans="1:21" ht="12.5">
      <c r="B110" s="145" t="str">
        <f t="shared" si="20"/>
        <v/>
      </c>
      <c r="C110" s="496">
        <f>IF(D94="","-",+C109+1)</f>
        <v>2023</v>
      </c>
      <c r="D110" s="350"/>
      <c r="E110" s="629"/>
      <c r="F110" s="511"/>
      <c r="G110" s="511"/>
      <c r="H110" s="645"/>
      <c r="I110" s="630"/>
      <c r="J110" s="505">
        <f t="shared" si="21"/>
        <v>0</v>
      </c>
      <c r="K110" s="505"/>
      <c r="L110" s="513"/>
      <c r="M110" s="505">
        <f t="shared" si="17"/>
        <v>0</v>
      </c>
      <c r="N110" s="513"/>
      <c r="O110" s="505">
        <f t="shared" si="18"/>
        <v>0</v>
      </c>
      <c r="P110" s="505">
        <f t="shared" si="19"/>
        <v>0</v>
      </c>
      <c r="Q110" s="244"/>
      <c r="R110" s="244"/>
      <c r="S110" s="244"/>
      <c r="T110" s="244"/>
      <c r="U110" s="244"/>
    </row>
    <row r="111" spans="1:21" ht="12.5">
      <c r="B111" s="145" t="str">
        <f t="shared" si="20"/>
        <v/>
      </c>
      <c r="C111" s="496">
        <f>IF(D94="","-",+C110+1)</f>
        <v>2024</v>
      </c>
      <c r="D111" s="350"/>
      <c r="E111" s="629"/>
      <c r="F111" s="511"/>
      <c r="G111" s="511"/>
      <c r="H111" s="645"/>
      <c r="I111" s="630"/>
      <c r="J111" s="505">
        <f t="shared" si="21"/>
        <v>0</v>
      </c>
      <c r="K111" s="505"/>
      <c r="L111" s="513"/>
      <c r="M111" s="505">
        <f t="shared" si="17"/>
        <v>0</v>
      </c>
      <c r="N111" s="513"/>
      <c r="O111" s="505">
        <f t="shared" si="18"/>
        <v>0</v>
      </c>
      <c r="P111" s="505">
        <f t="shared" si="19"/>
        <v>0</v>
      </c>
      <c r="Q111" s="244"/>
      <c r="R111" s="244"/>
      <c r="S111" s="244"/>
      <c r="T111" s="244"/>
      <c r="U111" s="244"/>
    </row>
    <row r="112" spans="1:21" ht="12.5">
      <c r="B112" s="145" t="str">
        <f t="shared" si="20"/>
        <v/>
      </c>
      <c r="C112" s="496">
        <f>IF(D94="","-",+C111+1)</f>
        <v>2025</v>
      </c>
      <c r="D112" s="350"/>
      <c r="E112" s="629"/>
      <c r="F112" s="511"/>
      <c r="G112" s="511"/>
      <c r="H112" s="645"/>
      <c r="I112" s="630"/>
      <c r="J112" s="505">
        <f t="shared" si="21"/>
        <v>0</v>
      </c>
      <c r="K112" s="505"/>
      <c r="L112" s="513"/>
      <c r="M112" s="505">
        <f t="shared" si="17"/>
        <v>0</v>
      </c>
      <c r="N112" s="513"/>
      <c r="O112" s="505">
        <f t="shared" si="18"/>
        <v>0</v>
      </c>
      <c r="P112" s="505">
        <f t="shared" si="19"/>
        <v>0</v>
      </c>
      <c r="Q112" s="244"/>
      <c r="R112" s="244"/>
      <c r="S112" s="244"/>
      <c r="T112" s="244"/>
      <c r="U112" s="244"/>
    </row>
    <row r="113" spans="2:21" ht="12.5">
      <c r="B113" s="145" t="str">
        <f t="shared" si="20"/>
        <v/>
      </c>
      <c r="C113" s="496">
        <f>IF(D94="","-",+C112+1)</f>
        <v>2026</v>
      </c>
      <c r="D113" s="350"/>
      <c r="E113" s="629"/>
      <c r="F113" s="511"/>
      <c r="G113" s="511"/>
      <c r="H113" s="645"/>
      <c r="I113" s="630"/>
      <c r="J113" s="505">
        <f t="shared" si="21"/>
        <v>0</v>
      </c>
      <c r="K113" s="505"/>
      <c r="L113" s="513"/>
      <c r="M113" s="505">
        <f t="shared" si="17"/>
        <v>0</v>
      </c>
      <c r="N113" s="513"/>
      <c r="O113" s="505">
        <f t="shared" si="18"/>
        <v>0</v>
      </c>
      <c r="P113" s="505">
        <f t="shared" si="19"/>
        <v>0</v>
      </c>
      <c r="Q113" s="244"/>
      <c r="R113" s="244"/>
      <c r="S113" s="244"/>
      <c r="T113" s="244"/>
      <c r="U113" s="244"/>
    </row>
    <row r="114" spans="2:21" ht="12.5">
      <c r="B114" s="145" t="str">
        <f t="shared" si="20"/>
        <v/>
      </c>
      <c r="C114" s="496">
        <f>IF(D94="","-",+C113+1)</f>
        <v>2027</v>
      </c>
      <c r="D114" s="350"/>
      <c r="E114" s="629"/>
      <c r="F114" s="511"/>
      <c r="G114" s="511"/>
      <c r="H114" s="645"/>
      <c r="I114" s="630"/>
      <c r="J114" s="505">
        <f t="shared" si="21"/>
        <v>0</v>
      </c>
      <c r="K114" s="505"/>
      <c r="L114" s="513"/>
      <c r="M114" s="505">
        <f t="shared" si="17"/>
        <v>0</v>
      </c>
      <c r="N114" s="513"/>
      <c r="O114" s="505">
        <f t="shared" si="18"/>
        <v>0</v>
      </c>
      <c r="P114" s="505">
        <f t="shared" si="19"/>
        <v>0</v>
      </c>
      <c r="Q114" s="244"/>
      <c r="R114" s="244"/>
      <c r="S114" s="244"/>
      <c r="T114" s="244"/>
      <c r="U114" s="244"/>
    </row>
    <row r="115" spans="2:21" ht="12.5">
      <c r="B115" s="145" t="str">
        <f t="shared" si="20"/>
        <v/>
      </c>
      <c r="C115" s="496">
        <f>IF(D94="","-",+C114+1)</f>
        <v>2028</v>
      </c>
      <c r="D115" s="350"/>
      <c r="E115" s="629"/>
      <c r="F115" s="511"/>
      <c r="G115" s="511"/>
      <c r="H115" s="645"/>
      <c r="I115" s="630"/>
      <c r="J115" s="505">
        <f t="shared" si="21"/>
        <v>0</v>
      </c>
      <c r="K115" s="505"/>
      <c r="L115" s="513"/>
      <c r="M115" s="505">
        <f t="shared" si="17"/>
        <v>0</v>
      </c>
      <c r="N115" s="513"/>
      <c r="O115" s="505">
        <f t="shared" si="18"/>
        <v>0</v>
      </c>
      <c r="P115" s="505">
        <f t="shared" si="19"/>
        <v>0</v>
      </c>
      <c r="Q115" s="244"/>
      <c r="R115" s="244"/>
      <c r="S115" s="244"/>
      <c r="T115" s="244"/>
      <c r="U115" s="244"/>
    </row>
    <row r="116" spans="2:21" ht="12.5">
      <c r="B116" s="145" t="str">
        <f t="shared" si="20"/>
        <v/>
      </c>
      <c r="C116" s="496">
        <f>IF(D94="","-",+C115+1)</f>
        <v>2029</v>
      </c>
      <c r="D116" s="350"/>
      <c r="E116" s="629"/>
      <c r="F116" s="511"/>
      <c r="G116" s="511"/>
      <c r="H116" s="645"/>
      <c r="I116" s="630"/>
      <c r="J116" s="505">
        <f t="shared" si="21"/>
        <v>0</v>
      </c>
      <c r="K116" s="505"/>
      <c r="L116" s="513"/>
      <c r="M116" s="505">
        <f t="shared" si="17"/>
        <v>0</v>
      </c>
      <c r="N116" s="513"/>
      <c r="O116" s="505">
        <f t="shared" si="18"/>
        <v>0</v>
      </c>
      <c r="P116" s="505">
        <f t="shared" si="19"/>
        <v>0</v>
      </c>
      <c r="Q116" s="244"/>
      <c r="R116" s="244"/>
      <c r="S116" s="244"/>
      <c r="T116" s="244"/>
      <c r="U116" s="244"/>
    </row>
    <row r="117" spans="2:21" ht="12.5">
      <c r="B117" s="145" t="str">
        <f t="shared" si="20"/>
        <v/>
      </c>
      <c r="C117" s="496">
        <f>IF(D94="","-",+C116+1)</f>
        <v>2030</v>
      </c>
      <c r="D117" s="350"/>
      <c r="E117" s="629"/>
      <c r="F117" s="511"/>
      <c r="G117" s="511"/>
      <c r="H117" s="645"/>
      <c r="I117" s="630"/>
      <c r="J117" s="505">
        <f t="shared" si="21"/>
        <v>0</v>
      </c>
      <c r="K117" s="505"/>
      <c r="L117" s="513"/>
      <c r="M117" s="505">
        <f t="shared" si="17"/>
        <v>0</v>
      </c>
      <c r="N117" s="513"/>
      <c r="O117" s="505">
        <f t="shared" si="18"/>
        <v>0</v>
      </c>
      <c r="P117" s="505">
        <f t="shared" si="19"/>
        <v>0</v>
      </c>
      <c r="Q117" s="244"/>
      <c r="R117" s="244"/>
      <c r="S117" s="244"/>
      <c r="T117" s="244"/>
      <c r="U117" s="244"/>
    </row>
    <row r="118" spans="2:21" ht="12.5">
      <c r="B118" s="145" t="str">
        <f t="shared" si="20"/>
        <v/>
      </c>
      <c r="C118" s="496">
        <f>IF(D94="","-",+C117+1)</f>
        <v>2031</v>
      </c>
      <c r="D118" s="350"/>
      <c r="E118" s="629"/>
      <c r="F118" s="511"/>
      <c r="G118" s="511"/>
      <c r="H118" s="645"/>
      <c r="I118" s="630"/>
      <c r="J118" s="505">
        <f t="shared" si="21"/>
        <v>0</v>
      </c>
      <c r="K118" s="505"/>
      <c r="L118" s="513"/>
      <c r="M118" s="505">
        <f t="shared" si="17"/>
        <v>0</v>
      </c>
      <c r="N118" s="513"/>
      <c r="O118" s="505">
        <f t="shared" si="18"/>
        <v>0</v>
      </c>
      <c r="P118" s="505">
        <f t="shared" si="19"/>
        <v>0</v>
      </c>
      <c r="Q118" s="244"/>
      <c r="R118" s="244"/>
      <c r="S118" s="244"/>
      <c r="T118" s="244"/>
      <c r="U118" s="244"/>
    </row>
    <row r="119" spans="2:21" ht="12.5">
      <c r="B119" s="145" t="str">
        <f t="shared" si="20"/>
        <v/>
      </c>
      <c r="C119" s="496">
        <f>IF(D94="","-",+C118+1)</f>
        <v>2032</v>
      </c>
      <c r="D119" s="350"/>
      <c r="E119" s="629"/>
      <c r="F119" s="511"/>
      <c r="G119" s="511"/>
      <c r="H119" s="645"/>
      <c r="I119" s="630"/>
      <c r="J119" s="505">
        <f t="shared" si="21"/>
        <v>0</v>
      </c>
      <c r="K119" s="505"/>
      <c r="L119" s="513"/>
      <c r="M119" s="505">
        <f t="shared" si="17"/>
        <v>0</v>
      </c>
      <c r="N119" s="513"/>
      <c r="O119" s="505">
        <f t="shared" si="18"/>
        <v>0</v>
      </c>
      <c r="P119" s="505">
        <f t="shared" si="19"/>
        <v>0</v>
      </c>
      <c r="Q119" s="244"/>
      <c r="R119" s="244"/>
      <c r="S119" s="244"/>
      <c r="T119" s="244"/>
      <c r="U119" s="244"/>
    </row>
    <row r="120" spans="2:21" ht="12.5">
      <c r="B120" s="145" t="str">
        <f t="shared" si="20"/>
        <v/>
      </c>
      <c r="C120" s="496">
        <f>IF(D94="","-",+C119+1)</f>
        <v>2033</v>
      </c>
      <c r="D120" s="350"/>
      <c r="E120" s="629"/>
      <c r="F120" s="511"/>
      <c r="G120" s="511"/>
      <c r="H120" s="645"/>
      <c r="I120" s="630"/>
      <c r="J120" s="505">
        <f t="shared" si="21"/>
        <v>0</v>
      </c>
      <c r="K120" s="505"/>
      <c r="L120" s="513"/>
      <c r="M120" s="505">
        <f t="shared" si="17"/>
        <v>0</v>
      </c>
      <c r="N120" s="513"/>
      <c r="O120" s="505">
        <f t="shared" si="18"/>
        <v>0</v>
      </c>
      <c r="P120" s="505">
        <f t="shared" si="19"/>
        <v>0</v>
      </c>
      <c r="Q120" s="244"/>
      <c r="R120" s="244"/>
      <c r="S120" s="244"/>
      <c r="T120" s="244"/>
      <c r="U120" s="244"/>
    </row>
    <row r="121" spans="2:21" ht="12.5">
      <c r="B121" s="145" t="str">
        <f t="shared" si="20"/>
        <v/>
      </c>
      <c r="C121" s="496">
        <f>IF(D94="","-",+C120+1)</f>
        <v>2034</v>
      </c>
      <c r="D121" s="350"/>
      <c r="E121" s="629"/>
      <c r="F121" s="511"/>
      <c r="G121" s="511"/>
      <c r="H121" s="645"/>
      <c r="I121" s="630"/>
      <c r="J121" s="505">
        <f t="shared" si="21"/>
        <v>0</v>
      </c>
      <c r="K121" s="505"/>
      <c r="L121" s="513"/>
      <c r="M121" s="505">
        <f t="shared" si="17"/>
        <v>0</v>
      </c>
      <c r="N121" s="513"/>
      <c r="O121" s="505">
        <f t="shared" si="18"/>
        <v>0</v>
      </c>
      <c r="P121" s="505">
        <f t="shared" si="19"/>
        <v>0</v>
      </c>
      <c r="Q121" s="244"/>
      <c r="R121" s="244"/>
      <c r="S121" s="244"/>
      <c r="T121" s="244"/>
      <c r="U121" s="244"/>
    </row>
    <row r="122" spans="2:21" ht="12.5">
      <c r="B122" s="145" t="str">
        <f t="shared" si="20"/>
        <v/>
      </c>
      <c r="C122" s="496">
        <f>IF(D94="","-",+C121+1)</f>
        <v>2035</v>
      </c>
      <c r="D122" s="350"/>
      <c r="E122" s="629"/>
      <c r="F122" s="511"/>
      <c r="G122" s="511"/>
      <c r="H122" s="645"/>
      <c r="I122" s="630"/>
      <c r="J122" s="505">
        <f t="shared" si="21"/>
        <v>0</v>
      </c>
      <c r="K122" s="505"/>
      <c r="L122" s="513"/>
      <c r="M122" s="505">
        <f t="shared" si="17"/>
        <v>0</v>
      </c>
      <c r="N122" s="513"/>
      <c r="O122" s="505">
        <f t="shared" si="18"/>
        <v>0</v>
      </c>
      <c r="P122" s="505">
        <f t="shared" si="19"/>
        <v>0</v>
      </c>
      <c r="Q122" s="244"/>
      <c r="R122" s="244"/>
      <c r="S122" s="244"/>
      <c r="T122" s="244"/>
      <c r="U122" s="244"/>
    </row>
    <row r="123" spans="2:21" ht="12.5">
      <c r="B123" s="145" t="str">
        <f t="shared" si="20"/>
        <v/>
      </c>
      <c r="C123" s="496">
        <f>IF(D94="","-",+C122+1)</f>
        <v>2036</v>
      </c>
      <c r="D123" s="350"/>
      <c r="E123" s="629"/>
      <c r="F123" s="511"/>
      <c r="G123" s="511"/>
      <c r="H123" s="645"/>
      <c r="I123" s="630"/>
      <c r="J123" s="505">
        <f t="shared" si="21"/>
        <v>0</v>
      </c>
      <c r="K123" s="505"/>
      <c r="L123" s="513"/>
      <c r="M123" s="505">
        <f t="shared" si="17"/>
        <v>0</v>
      </c>
      <c r="N123" s="513"/>
      <c r="O123" s="505">
        <f t="shared" si="18"/>
        <v>0</v>
      </c>
      <c r="P123" s="505">
        <f t="shared" si="19"/>
        <v>0</v>
      </c>
      <c r="Q123" s="244"/>
      <c r="R123" s="244"/>
      <c r="S123" s="244"/>
      <c r="T123" s="244"/>
      <c r="U123" s="244"/>
    </row>
    <row r="124" spans="2:21" ht="12.5">
      <c r="B124" s="145" t="str">
        <f t="shared" si="20"/>
        <v/>
      </c>
      <c r="C124" s="496">
        <f>IF(D94="","-",+C123+1)</f>
        <v>2037</v>
      </c>
      <c r="D124" s="350"/>
      <c r="E124" s="629"/>
      <c r="F124" s="511"/>
      <c r="G124" s="511"/>
      <c r="H124" s="645"/>
      <c r="I124" s="630"/>
      <c r="J124" s="505">
        <f t="shared" si="21"/>
        <v>0</v>
      </c>
      <c r="K124" s="505"/>
      <c r="L124" s="513"/>
      <c r="M124" s="505">
        <f t="shared" si="17"/>
        <v>0</v>
      </c>
      <c r="N124" s="513"/>
      <c r="O124" s="505">
        <f t="shared" si="18"/>
        <v>0</v>
      </c>
      <c r="P124" s="505">
        <f t="shared" si="19"/>
        <v>0</v>
      </c>
      <c r="Q124" s="244"/>
      <c r="R124" s="244"/>
      <c r="S124" s="244"/>
      <c r="T124" s="244"/>
      <c r="U124" s="244"/>
    </row>
    <row r="125" spans="2:21" ht="12.5">
      <c r="B125" s="145" t="str">
        <f t="shared" si="20"/>
        <v/>
      </c>
      <c r="C125" s="496">
        <f>IF(D94="","-",+C124+1)</f>
        <v>2038</v>
      </c>
      <c r="D125" s="350"/>
      <c r="E125" s="629"/>
      <c r="F125" s="511"/>
      <c r="G125" s="511"/>
      <c r="H125" s="645"/>
      <c r="I125" s="630"/>
      <c r="J125" s="505">
        <f t="shared" si="21"/>
        <v>0</v>
      </c>
      <c r="K125" s="505"/>
      <c r="L125" s="513"/>
      <c r="M125" s="505">
        <f t="shared" si="17"/>
        <v>0</v>
      </c>
      <c r="N125" s="513"/>
      <c r="O125" s="505">
        <f t="shared" si="18"/>
        <v>0</v>
      </c>
      <c r="P125" s="505">
        <f t="shared" si="19"/>
        <v>0</v>
      </c>
      <c r="Q125" s="244"/>
      <c r="R125" s="244"/>
      <c r="S125" s="244"/>
      <c r="T125" s="244"/>
      <c r="U125" s="244"/>
    </row>
    <row r="126" spans="2:21" ht="12.5">
      <c r="B126" s="145" t="str">
        <f t="shared" si="20"/>
        <v/>
      </c>
      <c r="C126" s="496">
        <f>IF(D94="","-",+C125+1)</f>
        <v>2039</v>
      </c>
      <c r="D126" s="350"/>
      <c r="E126" s="629"/>
      <c r="F126" s="511"/>
      <c r="G126" s="511"/>
      <c r="H126" s="645"/>
      <c r="I126" s="630"/>
      <c r="J126" s="505">
        <f t="shared" si="21"/>
        <v>0</v>
      </c>
      <c r="K126" s="505"/>
      <c r="L126" s="513"/>
      <c r="M126" s="505">
        <f t="shared" si="17"/>
        <v>0</v>
      </c>
      <c r="N126" s="513"/>
      <c r="O126" s="505">
        <f t="shared" si="18"/>
        <v>0</v>
      </c>
      <c r="P126" s="505">
        <f t="shared" si="19"/>
        <v>0</v>
      </c>
      <c r="Q126" s="244"/>
      <c r="R126" s="244"/>
      <c r="S126" s="244"/>
      <c r="T126" s="244"/>
      <c r="U126" s="244"/>
    </row>
    <row r="127" spans="2:21" ht="12.5">
      <c r="B127" s="145" t="str">
        <f t="shared" si="20"/>
        <v/>
      </c>
      <c r="C127" s="496">
        <f>IF(D94="","-",+C126+1)</f>
        <v>2040</v>
      </c>
      <c r="D127" s="350"/>
      <c r="E127" s="629"/>
      <c r="F127" s="511"/>
      <c r="G127" s="511"/>
      <c r="H127" s="645"/>
      <c r="I127" s="630"/>
      <c r="J127" s="505">
        <f t="shared" si="21"/>
        <v>0</v>
      </c>
      <c r="K127" s="505"/>
      <c r="L127" s="513"/>
      <c r="M127" s="505">
        <f t="shared" si="17"/>
        <v>0</v>
      </c>
      <c r="N127" s="513"/>
      <c r="O127" s="505">
        <f t="shared" si="18"/>
        <v>0</v>
      </c>
      <c r="P127" s="505">
        <f t="shared" si="19"/>
        <v>0</v>
      </c>
      <c r="Q127" s="244"/>
      <c r="R127" s="244"/>
      <c r="S127" s="244"/>
      <c r="T127" s="244"/>
      <c r="U127" s="244"/>
    </row>
    <row r="128" spans="2:21" ht="12.5">
      <c r="B128" s="145" t="str">
        <f t="shared" si="20"/>
        <v/>
      </c>
      <c r="C128" s="496">
        <f>IF(D94="","-",+C127+1)</f>
        <v>2041</v>
      </c>
      <c r="D128" s="350"/>
      <c r="E128" s="629"/>
      <c r="F128" s="511"/>
      <c r="G128" s="511"/>
      <c r="H128" s="645"/>
      <c r="I128" s="630"/>
      <c r="J128" s="505">
        <f t="shared" si="21"/>
        <v>0</v>
      </c>
      <c r="K128" s="505"/>
      <c r="L128" s="513"/>
      <c r="M128" s="505">
        <f t="shared" si="17"/>
        <v>0</v>
      </c>
      <c r="N128" s="513"/>
      <c r="O128" s="505">
        <f t="shared" si="18"/>
        <v>0</v>
      </c>
      <c r="P128" s="505">
        <f t="shared" si="19"/>
        <v>0</v>
      </c>
      <c r="Q128" s="244"/>
      <c r="R128" s="244"/>
      <c r="S128" s="244"/>
      <c r="T128" s="244"/>
      <c r="U128" s="244"/>
    </row>
    <row r="129" spans="2:21" ht="12.5">
      <c r="B129" s="145" t="str">
        <f t="shared" si="20"/>
        <v/>
      </c>
      <c r="C129" s="496">
        <f>IF(D94="","-",+C128+1)</f>
        <v>2042</v>
      </c>
      <c r="D129" s="350"/>
      <c r="E129" s="629"/>
      <c r="F129" s="511"/>
      <c r="G129" s="511"/>
      <c r="H129" s="645"/>
      <c r="I129" s="630"/>
      <c r="J129" s="505">
        <f t="shared" si="21"/>
        <v>0</v>
      </c>
      <c r="K129" s="505"/>
      <c r="L129" s="513"/>
      <c r="M129" s="505">
        <f t="shared" si="17"/>
        <v>0</v>
      </c>
      <c r="N129" s="513"/>
      <c r="O129" s="505">
        <f t="shared" si="18"/>
        <v>0</v>
      </c>
      <c r="P129" s="505">
        <f t="shared" si="19"/>
        <v>0</v>
      </c>
      <c r="Q129" s="244"/>
      <c r="R129" s="244"/>
      <c r="S129" s="244"/>
      <c r="T129" s="244"/>
      <c r="U129" s="244"/>
    </row>
    <row r="130" spans="2:21" ht="12.5">
      <c r="B130" s="145" t="str">
        <f t="shared" si="20"/>
        <v/>
      </c>
      <c r="C130" s="496">
        <f>IF(D94="","-",+C129+1)</f>
        <v>2043</v>
      </c>
      <c r="D130" s="350"/>
      <c r="E130" s="629"/>
      <c r="F130" s="511"/>
      <c r="G130" s="511"/>
      <c r="H130" s="645"/>
      <c r="I130" s="630"/>
      <c r="J130" s="505">
        <f t="shared" si="21"/>
        <v>0</v>
      </c>
      <c r="K130" s="505"/>
      <c r="L130" s="513"/>
      <c r="M130" s="505">
        <f t="shared" si="17"/>
        <v>0</v>
      </c>
      <c r="N130" s="513"/>
      <c r="O130" s="505">
        <f t="shared" si="18"/>
        <v>0</v>
      </c>
      <c r="P130" s="505">
        <f t="shared" si="19"/>
        <v>0</v>
      </c>
      <c r="Q130" s="244"/>
      <c r="R130" s="244"/>
      <c r="S130" s="244"/>
      <c r="T130" s="244"/>
      <c r="U130" s="244"/>
    </row>
    <row r="131" spans="2:21" ht="12.5">
      <c r="B131" s="145" t="str">
        <f t="shared" si="20"/>
        <v/>
      </c>
      <c r="C131" s="496">
        <f>IF(D94="","-",+C130+1)</f>
        <v>2044</v>
      </c>
      <c r="D131" s="350"/>
      <c r="E131" s="629"/>
      <c r="F131" s="511"/>
      <c r="G131" s="511"/>
      <c r="H131" s="645"/>
      <c r="I131" s="630"/>
      <c r="J131" s="505">
        <f t="shared" si="21"/>
        <v>0</v>
      </c>
      <c r="K131" s="505"/>
      <c r="L131" s="513"/>
      <c r="M131" s="505">
        <f t="shared" si="17"/>
        <v>0</v>
      </c>
      <c r="N131" s="513"/>
      <c r="O131" s="505">
        <f t="shared" si="18"/>
        <v>0</v>
      </c>
      <c r="P131" s="505">
        <f t="shared" si="19"/>
        <v>0</v>
      </c>
      <c r="Q131" s="244"/>
      <c r="R131" s="244"/>
      <c r="S131" s="244"/>
      <c r="T131" s="244"/>
      <c r="U131" s="244"/>
    </row>
    <row r="132" spans="2:21" ht="12.5">
      <c r="B132" s="145" t="str">
        <f t="shared" si="20"/>
        <v/>
      </c>
      <c r="C132" s="496">
        <f>IF(D94="","-",+C131+1)</f>
        <v>2045</v>
      </c>
      <c r="D132" s="350"/>
      <c r="E132" s="629"/>
      <c r="F132" s="511"/>
      <c r="G132" s="511"/>
      <c r="H132" s="645"/>
      <c r="I132" s="630"/>
      <c r="J132" s="505">
        <f t="shared" si="21"/>
        <v>0</v>
      </c>
      <c r="K132" s="505"/>
      <c r="L132" s="513"/>
      <c r="M132" s="505">
        <f t="shared" ref="M132:M155" si="22">IF(L542&lt;&gt;0,+H542-L542,0)</f>
        <v>0</v>
      </c>
      <c r="N132" s="513"/>
      <c r="O132" s="505">
        <f t="shared" ref="O132:O155" si="23">IF(N542&lt;&gt;0,+I542-N542,0)</f>
        <v>0</v>
      </c>
      <c r="P132" s="505">
        <f t="shared" ref="P132:P155" si="24">+O542-M542</f>
        <v>0</v>
      </c>
      <c r="Q132" s="244"/>
      <c r="R132" s="244"/>
      <c r="S132" s="244"/>
      <c r="T132" s="244"/>
      <c r="U132" s="244"/>
    </row>
    <row r="133" spans="2:21" ht="12.5">
      <c r="B133" s="145" t="str">
        <f t="shared" si="20"/>
        <v/>
      </c>
      <c r="C133" s="496">
        <f>IF(D94="","-",+C132+1)</f>
        <v>2046</v>
      </c>
      <c r="D133" s="350"/>
      <c r="E133" s="629"/>
      <c r="F133" s="511"/>
      <c r="G133" s="511"/>
      <c r="H133" s="645"/>
      <c r="I133" s="630"/>
      <c r="J133" s="505">
        <f t="shared" si="21"/>
        <v>0</v>
      </c>
      <c r="K133" s="505"/>
      <c r="L133" s="513"/>
      <c r="M133" s="505">
        <f t="shared" si="22"/>
        <v>0</v>
      </c>
      <c r="N133" s="513"/>
      <c r="O133" s="505">
        <f t="shared" si="23"/>
        <v>0</v>
      </c>
      <c r="P133" s="505">
        <f t="shared" si="24"/>
        <v>0</v>
      </c>
      <c r="Q133" s="244"/>
      <c r="R133" s="244"/>
      <c r="S133" s="244"/>
      <c r="T133" s="244"/>
      <c r="U133" s="244"/>
    </row>
    <row r="134" spans="2:21" ht="12.5">
      <c r="B134" s="145" t="str">
        <f t="shared" si="20"/>
        <v/>
      </c>
      <c r="C134" s="496">
        <f>IF(D94="","-",+C133+1)</f>
        <v>2047</v>
      </c>
      <c r="D134" s="350"/>
      <c r="E134" s="629"/>
      <c r="F134" s="511"/>
      <c r="G134" s="511"/>
      <c r="H134" s="645"/>
      <c r="I134" s="630"/>
      <c r="J134" s="505">
        <f t="shared" si="21"/>
        <v>0</v>
      </c>
      <c r="K134" s="505"/>
      <c r="L134" s="513"/>
      <c r="M134" s="505">
        <f t="shared" si="22"/>
        <v>0</v>
      </c>
      <c r="N134" s="513"/>
      <c r="O134" s="505">
        <f t="shared" si="23"/>
        <v>0</v>
      </c>
      <c r="P134" s="505">
        <f t="shared" si="24"/>
        <v>0</v>
      </c>
      <c r="Q134" s="244"/>
      <c r="R134" s="244"/>
      <c r="S134" s="244"/>
      <c r="T134" s="244"/>
      <c r="U134" s="244"/>
    </row>
    <row r="135" spans="2:21" ht="12.5">
      <c r="B135" s="145" t="str">
        <f t="shared" si="20"/>
        <v/>
      </c>
      <c r="C135" s="496">
        <f>IF(D94="","-",+C134+1)</f>
        <v>2048</v>
      </c>
      <c r="D135" s="350"/>
      <c r="E135" s="629"/>
      <c r="F135" s="511"/>
      <c r="G135" s="511"/>
      <c r="H135" s="645"/>
      <c r="I135" s="630"/>
      <c r="J135" s="505">
        <f t="shared" si="21"/>
        <v>0</v>
      </c>
      <c r="K135" s="505"/>
      <c r="L135" s="513"/>
      <c r="M135" s="505">
        <f t="shared" si="22"/>
        <v>0</v>
      </c>
      <c r="N135" s="513"/>
      <c r="O135" s="505">
        <f t="shared" si="23"/>
        <v>0</v>
      </c>
      <c r="P135" s="505">
        <f t="shared" si="24"/>
        <v>0</v>
      </c>
      <c r="Q135" s="244"/>
      <c r="R135" s="244"/>
      <c r="S135" s="244"/>
      <c r="T135" s="244"/>
      <c r="U135" s="244"/>
    </row>
    <row r="136" spans="2:21" ht="12.5">
      <c r="B136" s="145" t="str">
        <f t="shared" si="20"/>
        <v/>
      </c>
      <c r="C136" s="496">
        <f>IF(D94="","-",+C135+1)</f>
        <v>2049</v>
      </c>
      <c r="D136" s="350"/>
      <c r="E136" s="629"/>
      <c r="F136" s="511"/>
      <c r="G136" s="511"/>
      <c r="H136" s="645"/>
      <c r="I136" s="630"/>
      <c r="J136" s="505">
        <f t="shared" si="21"/>
        <v>0</v>
      </c>
      <c r="K136" s="505"/>
      <c r="L136" s="513"/>
      <c r="M136" s="505">
        <f t="shared" si="22"/>
        <v>0</v>
      </c>
      <c r="N136" s="513"/>
      <c r="O136" s="505">
        <f t="shared" si="23"/>
        <v>0</v>
      </c>
      <c r="P136" s="505">
        <f t="shared" si="24"/>
        <v>0</v>
      </c>
      <c r="Q136" s="244"/>
      <c r="R136" s="244"/>
      <c r="S136" s="244"/>
      <c r="T136" s="244"/>
      <c r="U136" s="244"/>
    </row>
    <row r="137" spans="2:21" ht="12.5">
      <c r="B137" s="145" t="str">
        <f t="shared" si="20"/>
        <v/>
      </c>
      <c r="C137" s="496">
        <f>IF(D94="","-",+C136+1)</f>
        <v>2050</v>
      </c>
      <c r="D137" s="350"/>
      <c r="E137" s="629"/>
      <c r="F137" s="511"/>
      <c r="G137" s="511"/>
      <c r="H137" s="645"/>
      <c r="I137" s="630"/>
      <c r="J137" s="505">
        <f t="shared" si="21"/>
        <v>0</v>
      </c>
      <c r="K137" s="505"/>
      <c r="L137" s="513"/>
      <c r="M137" s="505">
        <f t="shared" si="22"/>
        <v>0</v>
      </c>
      <c r="N137" s="513"/>
      <c r="O137" s="505">
        <f t="shared" si="23"/>
        <v>0</v>
      </c>
      <c r="P137" s="505">
        <f t="shared" si="24"/>
        <v>0</v>
      </c>
      <c r="Q137" s="244"/>
      <c r="R137" s="244"/>
      <c r="S137" s="244"/>
      <c r="T137" s="244"/>
      <c r="U137" s="244"/>
    </row>
    <row r="138" spans="2:21" ht="12.5">
      <c r="B138" s="145" t="str">
        <f t="shared" si="20"/>
        <v/>
      </c>
      <c r="C138" s="496">
        <f>IF(D94="","-",+C137+1)</f>
        <v>2051</v>
      </c>
      <c r="D138" s="350"/>
      <c r="E138" s="629"/>
      <c r="F138" s="511"/>
      <c r="G138" s="511"/>
      <c r="H138" s="645"/>
      <c r="I138" s="630"/>
      <c r="J138" s="505">
        <f t="shared" si="21"/>
        <v>0</v>
      </c>
      <c r="K138" s="505"/>
      <c r="L138" s="513"/>
      <c r="M138" s="505">
        <f t="shared" si="22"/>
        <v>0</v>
      </c>
      <c r="N138" s="513"/>
      <c r="O138" s="505">
        <f t="shared" si="23"/>
        <v>0</v>
      </c>
      <c r="P138" s="505">
        <f t="shared" si="24"/>
        <v>0</v>
      </c>
      <c r="Q138" s="244"/>
      <c r="R138" s="244"/>
      <c r="S138" s="244"/>
      <c r="T138" s="244"/>
      <c r="U138" s="244"/>
    </row>
    <row r="139" spans="2:21" ht="12.5">
      <c r="B139" s="145" t="str">
        <f t="shared" si="20"/>
        <v/>
      </c>
      <c r="C139" s="496">
        <f>IF(D94="","-",+C138+1)</f>
        <v>2052</v>
      </c>
      <c r="D139" s="350"/>
      <c r="E139" s="629"/>
      <c r="F139" s="511"/>
      <c r="G139" s="511"/>
      <c r="H139" s="645"/>
      <c r="I139" s="630"/>
      <c r="J139" s="505">
        <f t="shared" si="21"/>
        <v>0</v>
      </c>
      <c r="K139" s="505"/>
      <c r="L139" s="513"/>
      <c r="M139" s="505">
        <f t="shared" si="22"/>
        <v>0</v>
      </c>
      <c r="N139" s="513"/>
      <c r="O139" s="505">
        <f t="shared" si="23"/>
        <v>0</v>
      </c>
      <c r="P139" s="505">
        <f t="shared" si="24"/>
        <v>0</v>
      </c>
      <c r="Q139" s="244"/>
      <c r="R139" s="244"/>
      <c r="S139" s="244"/>
      <c r="T139" s="244"/>
      <c r="U139" s="244"/>
    </row>
    <row r="140" spans="2:21" ht="12.5">
      <c r="B140" s="145" t="str">
        <f t="shared" si="20"/>
        <v/>
      </c>
      <c r="C140" s="496">
        <f>IF(D94="","-",+C139+1)</f>
        <v>2053</v>
      </c>
      <c r="D140" s="350"/>
      <c r="E140" s="629"/>
      <c r="F140" s="511"/>
      <c r="G140" s="511"/>
      <c r="H140" s="645"/>
      <c r="I140" s="630"/>
      <c r="J140" s="505">
        <f t="shared" si="21"/>
        <v>0</v>
      </c>
      <c r="K140" s="505"/>
      <c r="L140" s="513"/>
      <c r="M140" s="505">
        <f t="shared" si="22"/>
        <v>0</v>
      </c>
      <c r="N140" s="513"/>
      <c r="O140" s="505">
        <f t="shared" si="23"/>
        <v>0</v>
      </c>
      <c r="P140" s="505">
        <f t="shared" si="24"/>
        <v>0</v>
      </c>
      <c r="Q140" s="244"/>
      <c r="R140" s="244"/>
      <c r="S140" s="244"/>
      <c r="T140" s="244"/>
      <c r="U140" s="244"/>
    </row>
    <row r="141" spans="2:21" ht="12.5">
      <c r="B141" s="145" t="str">
        <f t="shared" si="20"/>
        <v/>
      </c>
      <c r="C141" s="496">
        <f>IF(D94="","-",+C140+1)</f>
        <v>2054</v>
      </c>
      <c r="D141" s="350"/>
      <c r="E141" s="629"/>
      <c r="F141" s="511"/>
      <c r="G141" s="511"/>
      <c r="H141" s="645"/>
      <c r="I141" s="630"/>
      <c r="J141" s="505">
        <f t="shared" si="21"/>
        <v>0</v>
      </c>
      <c r="K141" s="505"/>
      <c r="L141" s="513"/>
      <c r="M141" s="505">
        <f t="shared" si="22"/>
        <v>0</v>
      </c>
      <c r="N141" s="513"/>
      <c r="O141" s="505">
        <f t="shared" si="23"/>
        <v>0</v>
      </c>
      <c r="P141" s="505">
        <f t="shared" si="24"/>
        <v>0</v>
      </c>
      <c r="Q141" s="244"/>
      <c r="R141" s="244"/>
      <c r="S141" s="244"/>
      <c r="T141" s="244"/>
      <c r="U141" s="244"/>
    </row>
    <row r="142" spans="2:21" ht="12.5">
      <c r="B142" s="145" t="str">
        <f t="shared" si="20"/>
        <v/>
      </c>
      <c r="C142" s="496">
        <f>IF(D94="","-",+C141+1)</f>
        <v>2055</v>
      </c>
      <c r="D142" s="350"/>
      <c r="E142" s="629"/>
      <c r="F142" s="511"/>
      <c r="G142" s="511"/>
      <c r="H142" s="645"/>
      <c r="I142" s="630"/>
      <c r="J142" s="505">
        <f t="shared" si="21"/>
        <v>0</v>
      </c>
      <c r="K142" s="505"/>
      <c r="L142" s="513"/>
      <c r="M142" s="505">
        <f t="shared" si="22"/>
        <v>0</v>
      </c>
      <c r="N142" s="513"/>
      <c r="O142" s="505">
        <f t="shared" si="23"/>
        <v>0</v>
      </c>
      <c r="P142" s="505">
        <f t="shared" si="24"/>
        <v>0</v>
      </c>
      <c r="Q142" s="244"/>
      <c r="R142" s="244"/>
      <c r="S142" s="244"/>
      <c r="T142" s="244"/>
      <c r="U142" s="244"/>
    </row>
    <row r="143" spans="2:21" ht="12.5">
      <c r="B143" s="145" t="str">
        <f t="shared" si="20"/>
        <v/>
      </c>
      <c r="C143" s="496">
        <f>IF(D94="","-",+C142+1)</f>
        <v>2056</v>
      </c>
      <c r="D143" s="350"/>
      <c r="E143" s="629"/>
      <c r="F143" s="511"/>
      <c r="G143" s="511"/>
      <c r="H143" s="645"/>
      <c r="I143" s="630"/>
      <c r="J143" s="505">
        <f t="shared" si="21"/>
        <v>0</v>
      </c>
      <c r="K143" s="505"/>
      <c r="L143" s="513"/>
      <c r="M143" s="505">
        <f t="shared" si="22"/>
        <v>0</v>
      </c>
      <c r="N143" s="513"/>
      <c r="O143" s="505">
        <f t="shared" si="23"/>
        <v>0</v>
      </c>
      <c r="P143" s="505">
        <f t="shared" si="24"/>
        <v>0</v>
      </c>
      <c r="Q143" s="244"/>
      <c r="R143" s="244"/>
      <c r="S143" s="244"/>
      <c r="T143" s="244"/>
      <c r="U143" s="244"/>
    </row>
    <row r="144" spans="2:21" ht="12.5">
      <c r="B144" s="145" t="str">
        <f t="shared" si="20"/>
        <v/>
      </c>
      <c r="C144" s="496">
        <f>IF(D94="","-",+C143+1)</f>
        <v>2057</v>
      </c>
      <c r="D144" s="350"/>
      <c r="E144" s="629"/>
      <c r="F144" s="511"/>
      <c r="G144" s="511"/>
      <c r="H144" s="645"/>
      <c r="I144" s="630"/>
      <c r="J144" s="505">
        <f t="shared" si="21"/>
        <v>0</v>
      </c>
      <c r="K144" s="505"/>
      <c r="L144" s="513"/>
      <c r="M144" s="505">
        <f t="shared" si="22"/>
        <v>0</v>
      </c>
      <c r="N144" s="513"/>
      <c r="O144" s="505">
        <f t="shared" si="23"/>
        <v>0</v>
      </c>
      <c r="P144" s="505">
        <f t="shared" si="24"/>
        <v>0</v>
      </c>
      <c r="Q144" s="244"/>
      <c r="R144" s="244"/>
      <c r="S144" s="244"/>
      <c r="T144" s="244"/>
      <c r="U144" s="244"/>
    </row>
    <row r="145" spans="2:21" ht="12.5">
      <c r="B145" s="145" t="str">
        <f t="shared" si="20"/>
        <v/>
      </c>
      <c r="C145" s="496">
        <f>IF(D94="","-",+C144+1)</f>
        <v>2058</v>
      </c>
      <c r="D145" s="350"/>
      <c r="E145" s="629"/>
      <c r="F145" s="511"/>
      <c r="G145" s="511"/>
      <c r="H145" s="645"/>
      <c r="I145" s="630"/>
      <c r="J145" s="505">
        <f t="shared" si="21"/>
        <v>0</v>
      </c>
      <c r="K145" s="505"/>
      <c r="L145" s="513"/>
      <c r="M145" s="505">
        <f t="shared" si="22"/>
        <v>0</v>
      </c>
      <c r="N145" s="513"/>
      <c r="O145" s="505">
        <f t="shared" si="23"/>
        <v>0</v>
      </c>
      <c r="P145" s="505">
        <f t="shared" si="24"/>
        <v>0</v>
      </c>
      <c r="Q145" s="244"/>
      <c r="R145" s="244"/>
      <c r="S145" s="244"/>
      <c r="T145" s="244"/>
      <c r="U145" s="244"/>
    </row>
    <row r="146" spans="2:21" ht="12.5">
      <c r="B146" s="145" t="str">
        <f t="shared" si="20"/>
        <v/>
      </c>
      <c r="C146" s="496">
        <f>IF(D94="","-",+C145+1)</f>
        <v>2059</v>
      </c>
      <c r="D146" s="350"/>
      <c r="E146" s="629"/>
      <c r="F146" s="511"/>
      <c r="G146" s="511"/>
      <c r="H146" s="645"/>
      <c r="I146" s="630"/>
      <c r="J146" s="505">
        <f t="shared" si="21"/>
        <v>0</v>
      </c>
      <c r="K146" s="505"/>
      <c r="L146" s="513"/>
      <c r="M146" s="505">
        <f t="shared" si="22"/>
        <v>0</v>
      </c>
      <c r="N146" s="513"/>
      <c r="O146" s="505">
        <f t="shared" si="23"/>
        <v>0</v>
      </c>
      <c r="P146" s="505">
        <f t="shared" si="24"/>
        <v>0</v>
      </c>
      <c r="Q146" s="244"/>
      <c r="R146" s="244"/>
      <c r="S146" s="244"/>
      <c r="T146" s="244"/>
      <c r="U146" s="244"/>
    </row>
    <row r="147" spans="2:21" ht="12.5">
      <c r="B147" s="145" t="str">
        <f t="shared" si="20"/>
        <v/>
      </c>
      <c r="C147" s="496">
        <f>IF(D94="","-",+C146+1)</f>
        <v>2060</v>
      </c>
      <c r="D147" s="350"/>
      <c r="E147" s="629"/>
      <c r="F147" s="511"/>
      <c r="G147" s="511"/>
      <c r="H147" s="645"/>
      <c r="I147" s="630"/>
      <c r="J147" s="505">
        <f t="shared" si="21"/>
        <v>0</v>
      </c>
      <c r="K147" s="505"/>
      <c r="L147" s="513"/>
      <c r="M147" s="505">
        <f t="shared" si="22"/>
        <v>0</v>
      </c>
      <c r="N147" s="513"/>
      <c r="O147" s="505">
        <f t="shared" si="23"/>
        <v>0</v>
      </c>
      <c r="P147" s="505">
        <f t="shared" si="24"/>
        <v>0</v>
      </c>
      <c r="Q147" s="244"/>
      <c r="R147" s="244"/>
      <c r="S147" s="244"/>
      <c r="T147" s="244"/>
      <c r="U147" s="244"/>
    </row>
    <row r="148" spans="2:21" ht="12.5">
      <c r="B148" s="145" t="str">
        <f t="shared" si="20"/>
        <v/>
      </c>
      <c r="C148" s="496">
        <f>IF(D94="","-",+C147+1)</f>
        <v>2061</v>
      </c>
      <c r="D148" s="350"/>
      <c r="E148" s="629"/>
      <c r="F148" s="511"/>
      <c r="G148" s="511"/>
      <c r="H148" s="645"/>
      <c r="I148" s="630"/>
      <c r="J148" s="505">
        <f t="shared" si="21"/>
        <v>0</v>
      </c>
      <c r="K148" s="505"/>
      <c r="L148" s="513"/>
      <c r="M148" s="505">
        <f t="shared" si="22"/>
        <v>0</v>
      </c>
      <c r="N148" s="513"/>
      <c r="O148" s="505">
        <f t="shared" si="23"/>
        <v>0</v>
      </c>
      <c r="P148" s="505">
        <f t="shared" si="24"/>
        <v>0</v>
      </c>
      <c r="Q148" s="244"/>
      <c r="R148" s="244"/>
      <c r="S148" s="244"/>
      <c r="T148" s="244"/>
      <c r="U148" s="244"/>
    </row>
    <row r="149" spans="2:21" ht="12.5">
      <c r="B149" s="145" t="str">
        <f t="shared" si="20"/>
        <v/>
      </c>
      <c r="C149" s="496">
        <f>IF(D94="","-",+C148+1)</f>
        <v>2062</v>
      </c>
      <c r="D149" s="350"/>
      <c r="E149" s="629"/>
      <c r="F149" s="511"/>
      <c r="G149" s="511"/>
      <c r="H149" s="645"/>
      <c r="I149" s="630"/>
      <c r="J149" s="505">
        <f t="shared" si="21"/>
        <v>0</v>
      </c>
      <c r="K149" s="505"/>
      <c r="L149" s="513"/>
      <c r="M149" s="505">
        <f t="shared" si="22"/>
        <v>0</v>
      </c>
      <c r="N149" s="513"/>
      <c r="O149" s="505">
        <f t="shared" si="23"/>
        <v>0</v>
      </c>
      <c r="P149" s="505">
        <f t="shared" si="24"/>
        <v>0</v>
      </c>
      <c r="Q149" s="244"/>
      <c r="R149" s="244"/>
      <c r="S149" s="244"/>
      <c r="T149" s="244"/>
      <c r="U149" s="244"/>
    </row>
    <row r="150" spans="2:21" ht="12.5">
      <c r="B150" s="145" t="str">
        <f t="shared" si="20"/>
        <v/>
      </c>
      <c r="C150" s="496">
        <f>IF(D94="","-",+C149+1)</f>
        <v>2063</v>
      </c>
      <c r="D150" s="350"/>
      <c r="E150" s="629"/>
      <c r="F150" s="511"/>
      <c r="G150" s="511"/>
      <c r="H150" s="645"/>
      <c r="I150" s="630"/>
      <c r="J150" s="505">
        <f t="shared" si="21"/>
        <v>0</v>
      </c>
      <c r="K150" s="505"/>
      <c r="L150" s="513"/>
      <c r="M150" s="505">
        <f t="shared" si="22"/>
        <v>0</v>
      </c>
      <c r="N150" s="513"/>
      <c r="O150" s="505">
        <f t="shared" si="23"/>
        <v>0</v>
      </c>
      <c r="P150" s="505">
        <f t="shared" si="24"/>
        <v>0</v>
      </c>
      <c r="Q150" s="244"/>
      <c r="R150" s="244"/>
      <c r="S150" s="244"/>
      <c r="T150" s="244"/>
      <c r="U150" s="244"/>
    </row>
    <row r="151" spans="2:21" ht="12.5">
      <c r="B151" s="145" t="str">
        <f t="shared" si="20"/>
        <v/>
      </c>
      <c r="C151" s="496">
        <f>IF(D94="","-",+C150+1)</f>
        <v>2064</v>
      </c>
      <c r="D151" s="350"/>
      <c r="E151" s="629"/>
      <c r="F151" s="511"/>
      <c r="G151" s="511"/>
      <c r="H151" s="645"/>
      <c r="I151" s="630"/>
      <c r="J151" s="505">
        <f t="shared" si="21"/>
        <v>0</v>
      </c>
      <c r="K151" s="505"/>
      <c r="L151" s="513"/>
      <c r="M151" s="505">
        <f t="shared" si="22"/>
        <v>0</v>
      </c>
      <c r="N151" s="513"/>
      <c r="O151" s="505">
        <f t="shared" si="23"/>
        <v>0</v>
      </c>
      <c r="P151" s="505">
        <f t="shared" si="24"/>
        <v>0</v>
      </c>
      <c r="Q151" s="244"/>
      <c r="R151" s="244"/>
      <c r="S151" s="244"/>
      <c r="T151" s="244"/>
      <c r="U151" s="244"/>
    </row>
    <row r="152" spans="2:21" ht="12.5">
      <c r="B152" s="145" t="str">
        <f t="shared" si="20"/>
        <v/>
      </c>
      <c r="C152" s="496">
        <f>IF(D94="","-",+C151+1)</f>
        <v>2065</v>
      </c>
      <c r="D152" s="350"/>
      <c r="E152" s="629"/>
      <c r="F152" s="511"/>
      <c r="G152" s="511"/>
      <c r="H152" s="645"/>
      <c r="I152" s="630"/>
      <c r="J152" s="505">
        <f t="shared" si="21"/>
        <v>0</v>
      </c>
      <c r="K152" s="505"/>
      <c r="L152" s="513"/>
      <c r="M152" s="505">
        <f t="shared" si="22"/>
        <v>0</v>
      </c>
      <c r="N152" s="513"/>
      <c r="O152" s="505">
        <f t="shared" si="23"/>
        <v>0</v>
      </c>
      <c r="P152" s="505">
        <f t="shared" si="24"/>
        <v>0</v>
      </c>
      <c r="Q152" s="244"/>
      <c r="R152" s="244"/>
      <c r="S152" s="244"/>
      <c r="T152" s="244"/>
      <c r="U152" s="244"/>
    </row>
    <row r="153" spans="2:21" ht="12.5">
      <c r="B153" s="145" t="str">
        <f t="shared" si="20"/>
        <v/>
      </c>
      <c r="C153" s="496">
        <f>IF(D94="","-",+C152+1)</f>
        <v>2066</v>
      </c>
      <c r="D153" s="350"/>
      <c r="E153" s="629"/>
      <c r="F153" s="511"/>
      <c r="G153" s="511"/>
      <c r="H153" s="645"/>
      <c r="I153" s="630"/>
      <c r="J153" s="505">
        <f t="shared" si="21"/>
        <v>0</v>
      </c>
      <c r="K153" s="505"/>
      <c r="L153" s="513"/>
      <c r="M153" s="505">
        <f t="shared" si="22"/>
        <v>0</v>
      </c>
      <c r="N153" s="513"/>
      <c r="O153" s="505">
        <f t="shared" si="23"/>
        <v>0</v>
      </c>
      <c r="P153" s="505">
        <f t="shared" si="24"/>
        <v>0</v>
      </c>
      <c r="Q153" s="244"/>
      <c r="R153" s="244"/>
      <c r="S153" s="244"/>
      <c r="T153" s="244"/>
      <c r="U153" s="244"/>
    </row>
    <row r="154" spans="2:21" ht="12.5">
      <c r="B154" s="145" t="str">
        <f t="shared" si="20"/>
        <v/>
      </c>
      <c r="C154" s="496">
        <f>IF(D94="","-",+C153+1)</f>
        <v>2067</v>
      </c>
      <c r="D154" s="350"/>
      <c r="E154" s="629"/>
      <c r="F154" s="511"/>
      <c r="G154" s="511"/>
      <c r="H154" s="645"/>
      <c r="I154" s="630"/>
      <c r="J154" s="505">
        <f t="shared" si="21"/>
        <v>0</v>
      </c>
      <c r="K154" s="505"/>
      <c r="L154" s="513"/>
      <c r="M154" s="505">
        <f t="shared" si="22"/>
        <v>0</v>
      </c>
      <c r="N154" s="513"/>
      <c r="O154" s="505">
        <f t="shared" si="23"/>
        <v>0</v>
      </c>
      <c r="P154" s="505">
        <f t="shared" si="24"/>
        <v>0</v>
      </c>
      <c r="Q154" s="244"/>
      <c r="R154" s="244"/>
      <c r="S154" s="244"/>
      <c r="T154" s="244"/>
      <c r="U154" s="244"/>
    </row>
    <row r="155" spans="2:21" ht="13" thickBot="1">
      <c r="B155" s="145" t="str">
        <f t="shared" si="20"/>
        <v/>
      </c>
      <c r="C155" s="525">
        <f>IF(D94="","-",+C154+1)</f>
        <v>2068</v>
      </c>
      <c r="D155" s="619"/>
      <c r="E155" s="631"/>
      <c r="F155" s="528"/>
      <c r="G155" s="528"/>
      <c r="H155" s="645"/>
      <c r="I155" s="632"/>
      <c r="J155" s="532">
        <f t="shared" si="21"/>
        <v>0</v>
      </c>
      <c r="K155" s="505"/>
      <c r="L155" s="531"/>
      <c r="M155" s="532">
        <f t="shared" si="22"/>
        <v>0</v>
      </c>
      <c r="N155" s="531"/>
      <c r="O155" s="532">
        <f t="shared" si="23"/>
        <v>0</v>
      </c>
      <c r="P155" s="532">
        <f t="shared" si="24"/>
        <v>0</v>
      </c>
      <c r="Q155" s="244"/>
      <c r="R155" s="244"/>
      <c r="S155" s="244"/>
      <c r="T155" s="244"/>
      <c r="U155" s="244"/>
    </row>
    <row r="156" spans="2:21" ht="12.5">
      <c r="C156" s="350" t="s">
        <v>75</v>
      </c>
      <c r="D156" s="295"/>
      <c r="E156" s="295">
        <f>SUM(E100:E155)</f>
        <v>433494.464379085</v>
      </c>
      <c r="F156" s="295"/>
      <c r="G156" s="295"/>
      <c r="H156" s="295">
        <f>SUM(H100:H155)</f>
        <v>2387323.3800558434</v>
      </c>
      <c r="I156" s="295">
        <f>SUM(I100:I155)</f>
        <v>2387323.3800558434</v>
      </c>
      <c r="J156" s="295">
        <f>SUM(J100:J155)</f>
        <v>0</v>
      </c>
      <c r="K156" s="295"/>
      <c r="L156" s="295"/>
      <c r="M156" s="295"/>
      <c r="N156" s="295"/>
      <c r="O156" s="295"/>
      <c r="P156" s="244"/>
      <c r="Q156" s="244"/>
      <c r="R156" s="244"/>
      <c r="S156" s="244"/>
      <c r="T156" s="244"/>
      <c r="U156" s="244"/>
    </row>
    <row r="157" spans="2: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2:21" ht="12.5">
      <c r="C158" s="575"/>
      <c r="D158" s="293"/>
      <c r="E158" s="244"/>
      <c r="F158" s="244"/>
      <c r="G158" s="244"/>
      <c r="H158" s="244"/>
      <c r="I158" s="326"/>
      <c r="J158" s="326"/>
      <c r="K158" s="295"/>
      <c r="L158" s="326"/>
      <c r="M158" s="326"/>
      <c r="N158" s="326"/>
      <c r="O158" s="326"/>
      <c r="P158" s="244"/>
      <c r="Q158" s="244"/>
      <c r="R158" s="244"/>
      <c r="S158" s="244"/>
      <c r="T158" s="244"/>
      <c r="U158" s="244"/>
    </row>
    <row r="159" spans="2: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2: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5" priority="1" stopIfTrue="1" operator="equal">
      <formula>$I$10</formula>
    </cfRule>
  </conditionalFormatting>
  <conditionalFormatting sqref="C100:C155">
    <cfRule type="cellIs" dxfId="34"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dimension ref="A1:U163"/>
  <sheetViews>
    <sheetView topLeftCell="A66" zoomScaleNormal="100" zoomScaleSheetLayoutView="78"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14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8708948.961934343</v>
      </c>
      <c r="P5" s="244"/>
      <c r="R5" s="244"/>
      <c r="S5" s="244"/>
      <c r="T5" s="244"/>
      <c r="U5" s="244"/>
    </row>
    <row r="6" spans="1:21" ht="15.5">
      <c r="C6" s="236"/>
      <c r="D6" s="293"/>
      <c r="E6" s="244"/>
      <c r="F6" s="244"/>
      <c r="G6" s="244"/>
      <c r="H6" s="450"/>
      <c r="I6" s="450"/>
      <c r="J6" s="451"/>
      <c r="K6" s="452" t="s">
        <v>243</v>
      </c>
      <c r="L6" s="453"/>
      <c r="M6" s="279"/>
      <c r="N6" s="454">
        <f>VLOOKUP(I10,C17:I73,6)</f>
        <v>8708948.961934343</v>
      </c>
      <c r="O6" s="244"/>
      <c r="P6" s="244"/>
      <c r="R6" s="244"/>
      <c r="S6" s="244"/>
      <c r="T6" s="244"/>
      <c r="U6" s="244"/>
    </row>
    <row r="7" spans="1:21" ht="13.5" thickBot="1">
      <c r="C7" s="455" t="s">
        <v>46</v>
      </c>
      <c r="D7" s="635" t="s">
        <v>234</v>
      </c>
      <c r="E7" s="635"/>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C9" s="464" t="s">
        <v>48</v>
      </c>
      <c r="D9" s="465" t="s">
        <v>235</v>
      </c>
      <c r="E9" s="466"/>
      <c r="F9" s="466"/>
      <c r="G9" s="466"/>
      <c r="H9" s="466"/>
      <c r="I9" s="467"/>
      <c r="J9" s="468"/>
      <c r="O9" s="469"/>
      <c r="P9" s="279"/>
      <c r="R9" s="244"/>
      <c r="S9" s="244"/>
      <c r="T9" s="244"/>
      <c r="U9" s="244"/>
    </row>
    <row r="10" spans="1:21" ht="13">
      <c r="C10" s="470" t="s">
        <v>49</v>
      </c>
      <c r="D10" s="471">
        <v>68247468.75</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2016</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12</v>
      </c>
      <c r="E12" s="473" t="s">
        <v>55</v>
      </c>
      <c r="F12" s="409"/>
      <c r="G12" s="221"/>
      <c r="H12" s="221"/>
      <c r="I12" s="477">
        <f>'OKT.WS.F.BPU.ATRR.Projected'!$F$78</f>
        <v>0.11475877389767174</v>
      </c>
      <c r="J12" s="414"/>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2068105.1136363635</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3:21" ht="12.5">
      <c r="C17" s="496">
        <f>IF(D11= "","-",D11)</f>
        <v>2016</v>
      </c>
      <c r="D17" s="613">
        <v>3408237</v>
      </c>
      <c r="E17" s="621">
        <v>41312.427614067317</v>
      </c>
      <c r="F17" s="613">
        <v>3366924.5723859328</v>
      </c>
      <c r="G17" s="621">
        <v>283462.47353390156</v>
      </c>
      <c r="H17" s="618">
        <v>283462.47353390156</v>
      </c>
      <c r="I17" s="501">
        <f t="shared" ref="I17:I73" si="0">H17-G17</f>
        <v>0</v>
      </c>
      <c r="J17" s="501"/>
      <c r="K17" s="502">
        <f t="shared" ref="K17:K22" si="1">G17</f>
        <v>283462.47353390156</v>
      </c>
      <c r="L17" s="503">
        <f t="shared" ref="L17:L22" si="2">IF(K17&lt;&gt;0,+G17-K17,0)</f>
        <v>0</v>
      </c>
      <c r="M17" s="502">
        <f t="shared" ref="M17:M22" si="3">H17</f>
        <v>283462.47353390156</v>
      </c>
      <c r="N17" s="504">
        <f t="shared" ref="N17:N73" si="4">IF(M17&lt;&gt;0,+H17-M17,0)</f>
        <v>0</v>
      </c>
      <c r="O17" s="505">
        <f t="shared" ref="O17:O73" si="5">+N17-L17</f>
        <v>0</v>
      </c>
      <c r="P17" s="279"/>
      <c r="R17" s="244"/>
      <c r="S17" s="244"/>
      <c r="T17" s="244"/>
      <c r="U17" s="244"/>
    </row>
    <row r="18" spans="3:21" ht="12.5">
      <c r="C18" s="496">
        <f>IF(D11="","-",+C17+1)</f>
        <v>2017</v>
      </c>
      <c r="D18" s="615">
        <v>69080283.572385937</v>
      </c>
      <c r="E18" s="614">
        <v>1359067.4231693465</v>
      </c>
      <c r="F18" s="615">
        <v>67721216.149216592</v>
      </c>
      <c r="G18" s="614">
        <v>8879043.9719662741</v>
      </c>
      <c r="H18" s="618">
        <v>8879043.9719662741</v>
      </c>
      <c r="I18" s="501">
        <f t="shared" si="0"/>
        <v>0</v>
      </c>
      <c r="J18" s="501"/>
      <c r="K18" s="593">
        <f t="shared" si="1"/>
        <v>8879043.9719662741</v>
      </c>
      <c r="L18" s="597">
        <f t="shared" si="2"/>
        <v>0</v>
      </c>
      <c r="M18" s="593">
        <f t="shared" si="3"/>
        <v>8879043.9719662741</v>
      </c>
      <c r="N18" s="505">
        <f>IF(M18&lt;&gt;0,+H18-M18,0)</f>
        <v>0</v>
      </c>
      <c r="O18" s="505">
        <f>+N18-L18</f>
        <v>0</v>
      </c>
      <c r="P18" s="279"/>
      <c r="R18" s="244"/>
      <c r="S18" s="244"/>
      <c r="T18" s="244"/>
      <c r="U18" s="244"/>
    </row>
    <row r="19" spans="3:21" ht="12.5">
      <c r="C19" s="496">
        <f>IF(D11="","-",+C18+1)</f>
        <v>2018</v>
      </c>
      <c r="D19" s="615">
        <v>67721216.149216592</v>
      </c>
      <c r="E19" s="614">
        <v>1695178.2446698518</v>
      </c>
      <c r="F19" s="615">
        <v>66026037.904546738</v>
      </c>
      <c r="G19" s="614">
        <v>8491120.286725603</v>
      </c>
      <c r="H19" s="618">
        <v>8491120.286725603</v>
      </c>
      <c r="I19" s="501">
        <f t="shared" si="0"/>
        <v>0</v>
      </c>
      <c r="J19" s="501"/>
      <c r="K19" s="593">
        <f t="shared" si="1"/>
        <v>8491120.286725603</v>
      </c>
      <c r="L19" s="597">
        <f t="shared" si="2"/>
        <v>0</v>
      </c>
      <c r="M19" s="593">
        <f t="shared" si="3"/>
        <v>8491120.286725603</v>
      </c>
      <c r="N19" s="505">
        <f>IF(M19&lt;&gt;0,+H19-M19,0)</f>
        <v>0</v>
      </c>
      <c r="O19" s="505">
        <f>+N19-L19</f>
        <v>0</v>
      </c>
      <c r="P19" s="279"/>
      <c r="R19" s="244"/>
      <c r="S19" s="244"/>
      <c r="T19" s="244"/>
      <c r="U19" s="244"/>
    </row>
    <row r="20" spans="3:21" ht="12.5">
      <c r="C20" s="496">
        <f>IF(D11="","-",+C19+1)</f>
        <v>2019</v>
      </c>
      <c r="D20" s="615">
        <v>66026037.904546738</v>
      </c>
      <c r="E20" s="614">
        <v>2050066.834779863</v>
      </c>
      <c r="F20" s="615">
        <v>63975971.069766872</v>
      </c>
      <c r="G20" s="614">
        <v>8806008.9305919912</v>
      </c>
      <c r="H20" s="618">
        <v>8806008.9305919912</v>
      </c>
      <c r="I20" s="501">
        <f t="shared" si="0"/>
        <v>0</v>
      </c>
      <c r="J20" s="501"/>
      <c r="K20" s="593">
        <f t="shared" si="1"/>
        <v>8806008.9305919912</v>
      </c>
      <c r="L20" s="597">
        <f t="shared" si="2"/>
        <v>0</v>
      </c>
      <c r="M20" s="593">
        <f t="shared" si="3"/>
        <v>8806008.9305919912</v>
      </c>
      <c r="N20" s="505">
        <f>IF(M20&lt;&gt;0,+H20-M20,0)</f>
        <v>0</v>
      </c>
      <c r="O20" s="505">
        <f>+N20-L20</f>
        <v>0</v>
      </c>
      <c r="P20" s="279"/>
      <c r="R20" s="244"/>
      <c r="S20" s="244"/>
      <c r="T20" s="244"/>
      <c r="U20" s="244"/>
    </row>
    <row r="21" spans="3:21" ht="12.5">
      <c r="C21" s="496">
        <f>IF(D11="","-",+C20+1)</f>
        <v>2020</v>
      </c>
      <c r="D21" s="615">
        <v>63456732.659876883</v>
      </c>
      <c r="E21" s="614">
        <v>1998407.404883953</v>
      </c>
      <c r="F21" s="615">
        <v>61458325.254992932</v>
      </c>
      <c r="G21" s="614">
        <v>8552229.9584809169</v>
      </c>
      <c r="H21" s="618">
        <v>8552229.9584809169</v>
      </c>
      <c r="I21" s="501">
        <f t="shared" si="0"/>
        <v>0</v>
      </c>
      <c r="J21" s="501"/>
      <c r="K21" s="593">
        <f t="shared" si="1"/>
        <v>8552229.9584809169</v>
      </c>
      <c r="L21" s="597">
        <f t="shared" si="2"/>
        <v>0</v>
      </c>
      <c r="M21" s="593">
        <f t="shared" si="3"/>
        <v>8552229.9584809169</v>
      </c>
      <c r="N21" s="505">
        <f t="shared" si="4"/>
        <v>0</v>
      </c>
      <c r="O21" s="505">
        <f t="shared" si="5"/>
        <v>0</v>
      </c>
      <c r="P21" s="279"/>
      <c r="R21" s="244"/>
      <c r="S21" s="244"/>
      <c r="T21" s="244"/>
      <c r="U21" s="244"/>
    </row>
    <row r="22" spans="3:21" ht="12.5">
      <c r="C22" s="496">
        <f>IF(D11="","-",+C21+1)</f>
        <v>2021</v>
      </c>
      <c r="D22" s="615">
        <v>61103436.664882921</v>
      </c>
      <c r="E22" s="614">
        <v>2201531.2580645164</v>
      </c>
      <c r="F22" s="615">
        <v>58901905.406818405</v>
      </c>
      <c r="G22" s="614">
        <v>8692924.255398104</v>
      </c>
      <c r="H22" s="618">
        <v>8692924.255398104</v>
      </c>
      <c r="I22" s="501">
        <f t="shared" si="0"/>
        <v>0</v>
      </c>
      <c r="J22" s="501"/>
      <c r="K22" s="593">
        <f t="shared" si="1"/>
        <v>8692924.255398104</v>
      </c>
      <c r="L22" s="597">
        <f t="shared" si="2"/>
        <v>0</v>
      </c>
      <c r="M22" s="593">
        <f t="shared" si="3"/>
        <v>8692924.255398104</v>
      </c>
      <c r="N22" s="505">
        <f t="shared" si="4"/>
        <v>0</v>
      </c>
      <c r="O22" s="505">
        <f t="shared" si="5"/>
        <v>0</v>
      </c>
      <c r="P22" s="279"/>
      <c r="R22" s="244"/>
      <c r="S22" s="244"/>
      <c r="T22" s="244"/>
      <c r="U22" s="244"/>
    </row>
    <row r="23" spans="3:21" ht="12.5">
      <c r="C23" s="496">
        <f>IF(D11="","-",+C22+1)</f>
        <v>2022</v>
      </c>
      <c r="D23" s="615">
        <v>58901905.406818405</v>
      </c>
      <c r="E23" s="614">
        <v>2068105.1212121211</v>
      </c>
      <c r="F23" s="615">
        <v>56833800.28560628</v>
      </c>
      <c r="G23" s="614">
        <v>8708948.961934343</v>
      </c>
      <c r="H23" s="618">
        <v>8708948.961934343</v>
      </c>
      <c r="I23" s="501">
        <f t="shared" si="0"/>
        <v>0</v>
      </c>
      <c r="J23" s="501"/>
      <c r="K23" s="593">
        <f t="shared" ref="K23" si="6">G23</f>
        <v>8708948.961934343</v>
      </c>
      <c r="L23" s="597">
        <f t="shared" ref="L23" si="7">IF(K23&lt;&gt;0,+G23-K23,0)</f>
        <v>0</v>
      </c>
      <c r="M23" s="593">
        <f t="shared" ref="M23" si="8">H23</f>
        <v>8708948.961934343</v>
      </c>
      <c r="N23" s="505">
        <f t="shared" si="4"/>
        <v>0</v>
      </c>
      <c r="O23" s="505">
        <f t="shared" si="5"/>
        <v>0</v>
      </c>
      <c r="P23" s="279"/>
      <c r="R23" s="244"/>
      <c r="S23" s="244"/>
      <c r="T23" s="244"/>
      <c r="U23" s="244"/>
    </row>
    <row r="24" spans="3:21" ht="12.5">
      <c r="C24" s="496">
        <f>IF(D11="","-",+C23+1)</f>
        <v>2023</v>
      </c>
      <c r="D24" s="615">
        <v>56833800.03560628</v>
      </c>
      <c r="E24" s="614">
        <v>2201531.25</v>
      </c>
      <c r="F24" s="615">
        <v>54632268.78560628</v>
      </c>
      <c r="G24" s="614">
        <v>8501195.2492568977</v>
      </c>
      <c r="H24" s="618">
        <v>8501195.2492568977</v>
      </c>
      <c r="I24" s="501">
        <f t="shared" si="0"/>
        <v>0</v>
      </c>
      <c r="J24" s="501"/>
      <c r="K24" s="593">
        <f t="shared" ref="K24" si="9">G24</f>
        <v>8501195.2492568977</v>
      </c>
      <c r="L24" s="597">
        <f t="shared" ref="L24" si="10">IF(K24&lt;&gt;0,+G24-K24,0)</f>
        <v>0</v>
      </c>
      <c r="M24" s="593">
        <f t="shared" ref="M24" si="11">H24</f>
        <v>8501195.2492568977</v>
      </c>
      <c r="N24" s="505">
        <f t="shared" si="4"/>
        <v>0</v>
      </c>
      <c r="O24" s="505">
        <f t="shared" si="5"/>
        <v>0</v>
      </c>
      <c r="P24" s="279"/>
      <c r="R24" s="244"/>
      <c r="S24" s="244"/>
      <c r="T24" s="244"/>
      <c r="U24" s="244"/>
    </row>
    <row r="25" spans="3:21" ht="12.5">
      <c r="C25" s="496">
        <f>IF(D11="","-",+C24+1)</f>
        <v>2024</v>
      </c>
      <c r="D25" s="511">
        <f>IF(F24+SUM(E$17:E24)=D$10,F24,D$10-SUM(E$17:E24))</f>
        <v>54632268.78560628</v>
      </c>
      <c r="E25" s="510">
        <f>IF(+I14&lt;F24,I14,D25)</f>
        <v>2068105.1136363635</v>
      </c>
      <c r="F25" s="511">
        <f t="shared" ref="F25:F73" si="12">+D25-E25</f>
        <v>52564163.671969913</v>
      </c>
      <c r="G25" s="512">
        <f t="shared" ref="G25:G73" si="13">(D25+F25)/2*I$12+E25</f>
        <v>8218970.6911543757</v>
      </c>
      <c r="H25" s="478">
        <f t="shared" ref="H25:H73" si="14">+(D25+F25)/2*I$13+E25</f>
        <v>8218970.6911543757</v>
      </c>
      <c r="I25" s="501">
        <f t="shared" si="0"/>
        <v>0</v>
      </c>
      <c r="J25" s="501"/>
      <c r="K25" s="513"/>
      <c r="L25" s="505">
        <f t="shared" ref="L25:L73" si="15">IF(K25&lt;&gt;0,+G25-K25,0)</f>
        <v>0</v>
      </c>
      <c r="M25" s="513"/>
      <c r="N25" s="505">
        <f t="shared" si="4"/>
        <v>0</v>
      </c>
      <c r="O25" s="505">
        <f t="shared" si="5"/>
        <v>0</v>
      </c>
      <c r="P25" s="279"/>
      <c r="R25" s="244"/>
      <c r="S25" s="244"/>
      <c r="T25" s="244"/>
      <c r="U25" s="244"/>
    </row>
    <row r="26" spans="3:21" ht="12.5">
      <c r="C26" s="496">
        <f>IF(D11="","-",+C25+1)</f>
        <v>2025</v>
      </c>
      <c r="D26" s="511">
        <f>IF(F25+SUM(E$17:E25)=D$10,F25,D$10-SUM(E$17:E25))</f>
        <v>52564163.671969913</v>
      </c>
      <c r="E26" s="510">
        <f>IF(+I14&lt;F25,I14,D26)</f>
        <v>2068105.1136363635</v>
      </c>
      <c r="F26" s="511">
        <f t="shared" si="12"/>
        <v>50496058.558333546</v>
      </c>
      <c r="G26" s="512">
        <f t="shared" si="13"/>
        <v>7981637.4840219626</v>
      </c>
      <c r="H26" s="478">
        <f t="shared" si="14"/>
        <v>7981637.4840219626</v>
      </c>
      <c r="I26" s="501">
        <f t="shared" si="0"/>
        <v>0</v>
      </c>
      <c r="J26" s="501"/>
      <c r="K26" s="513"/>
      <c r="L26" s="505">
        <f t="shared" si="15"/>
        <v>0</v>
      </c>
      <c r="M26" s="513"/>
      <c r="N26" s="505">
        <f t="shared" si="4"/>
        <v>0</v>
      </c>
      <c r="O26" s="505">
        <f t="shared" si="5"/>
        <v>0</v>
      </c>
      <c r="P26" s="279"/>
      <c r="R26" s="244"/>
      <c r="S26" s="244"/>
      <c r="T26" s="244"/>
      <c r="U26" s="244"/>
    </row>
    <row r="27" spans="3:21" ht="12.5">
      <c r="C27" s="496">
        <f>IF(D11="","-",+C26+1)</f>
        <v>2026</v>
      </c>
      <c r="D27" s="509">
        <f>IF(F26+SUM(E$17:E26)=D$10,F26,D$10-SUM(E$17:E26))</f>
        <v>50496058.558333546</v>
      </c>
      <c r="E27" s="510">
        <f>IF(+I14&lt;F26,I14,D27)</f>
        <v>2068105.1136363635</v>
      </c>
      <c r="F27" s="511">
        <f t="shared" si="12"/>
        <v>48427953.444697179</v>
      </c>
      <c r="G27" s="512">
        <f t="shared" si="13"/>
        <v>7744304.2768895468</v>
      </c>
      <c r="H27" s="478">
        <f t="shared" si="14"/>
        <v>7744304.2768895468</v>
      </c>
      <c r="I27" s="501">
        <f t="shared" si="0"/>
        <v>0</v>
      </c>
      <c r="J27" s="501"/>
      <c r="K27" s="513"/>
      <c r="L27" s="505">
        <f t="shared" si="15"/>
        <v>0</v>
      </c>
      <c r="M27" s="513"/>
      <c r="N27" s="505">
        <f t="shared" si="4"/>
        <v>0</v>
      </c>
      <c r="O27" s="505">
        <f t="shared" si="5"/>
        <v>0</v>
      </c>
      <c r="P27" s="279"/>
      <c r="R27" s="244"/>
      <c r="S27" s="244"/>
      <c r="T27" s="244"/>
      <c r="U27" s="244"/>
    </row>
    <row r="28" spans="3:21" ht="12.5">
      <c r="C28" s="496">
        <f>IF(D11="","-",+C27+1)</f>
        <v>2027</v>
      </c>
      <c r="D28" s="511">
        <f>IF(F27+SUM(E$17:E27)=D$10,F27,D$10-SUM(E$17:E27))</f>
        <v>48427953.444697179</v>
      </c>
      <c r="E28" s="510">
        <f>IF(+I14&lt;F27,I14,D28)</f>
        <v>2068105.1136363635</v>
      </c>
      <c r="F28" s="511">
        <f t="shared" si="12"/>
        <v>46359848.331060812</v>
      </c>
      <c r="G28" s="512">
        <f t="shared" si="13"/>
        <v>7506971.0697571328</v>
      </c>
      <c r="H28" s="478">
        <f t="shared" si="14"/>
        <v>7506971.0697571328</v>
      </c>
      <c r="I28" s="501">
        <f t="shared" si="0"/>
        <v>0</v>
      </c>
      <c r="J28" s="501"/>
      <c r="K28" s="513"/>
      <c r="L28" s="505">
        <f t="shared" si="15"/>
        <v>0</v>
      </c>
      <c r="M28" s="513"/>
      <c r="N28" s="505">
        <f t="shared" si="4"/>
        <v>0</v>
      </c>
      <c r="O28" s="505">
        <f t="shared" si="5"/>
        <v>0</v>
      </c>
      <c r="P28" s="279"/>
      <c r="R28" s="244"/>
      <c r="S28" s="244"/>
      <c r="T28" s="244"/>
      <c r="U28" s="244"/>
    </row>
    <row r="29" spans="3:21" ht="12.5">
      <c r="C29" s="496">
        <f>IF(D11="","-",+C28+1)</f>
        <v>2028</v>
      </c>
      <c r="D29" s="511">
        <f>IF(F28+SUM(E$17:E28)=D$10,F28,D$10-SUM(E$17:E28))</f>
        <v>46359848.331060812</v>
      </c>
      <c r="E29" s="510">
        <f>IF(+I14&lt;F28,I14,D29)</f>
        <v>2068105.1136363635</v>
      </c>
      <c r="F29" s="511">
        <f t="shared" si="12"/>
        <v>44291743.217424445</v>
      </c>
      <c r="G29" s="512">
        <f t="shared" si="13"/>
        <v>7269637.8626247179</v>
      </c>
      <c r="H29" s="478">
        <f t="shared" si="14"/>
        <v>7269637.8626247179</v>
      </c>
      <c r="I29" s="501">
        <f t="shared" si="0"/>
        <v>0</v>
      </c>
      <c r="J29" s="501"/>
      <c r="K29" s="513"/>
      <c r="L29" s="505">
        <f t="shared" si="15"/>
        <v>0</v>
      </c>
      <c r="M29" s="513"/>
      <c r="N29" s="505">
        <f t="shared" si="4"/>
        <v>0</v>
      </c>
      <c r="O29" s="505">
        <f t="shared" si="5"/>
        <v>0</v>
      </c>
      <c r="P29" s="279"/>
      <c r="R29" s="244"/>
      <c r="S29" s="244"/>
      <c r="T29" s="244"/>
      <c r="U29" s="244"/>
    </row>
    <row r="30" spans="3:21" ht="12.5">
      <c r="C30" s="496">
        <f>IF(D11="","-",+C29+1)</f>
        <v>2029</v>
      </c>
      <c r="D30" s="511">
        <f>IF(F29+SUM(E$17:E29)=D$10,F29,D$10-SUM(E$17:E29))</f>
        <v>44291743.217424445</v>
      </c>
      <c r="E30" s="510">
        <f>IF(+I14&lt;F29,I14,D30)</f>
        <v>2068105.1136363635</v>
      </c>
      <c r="F30" s="511">
        <f t="shared" si="12"/>
        <v>42223638.103788078</v>
      </c>
      <c r="G30" s="512">
        <f t="shared" si="13"/>
        <v>7032304.6554923039</v>
      </c>
      <c r="H30" s="478">
        <f t="shared" si="14"/>
        <v>7032304.6554923039</v>
      </c>
      <c r="I30" s="501">
        <f t="shared" si="0"/>
        <v>0</v>
      </c>
      <c r="J30" s="501"/>
      <c r="K30" s="513"/>
      <c r="L30" s="505">
        <f t="shared" si="15"/>
        <v>0</v>
      </c>
      <c r="M30" s="513"/>
      <c r="N30" s="505">
        <f t="shared" si="4"/>
        <v>0</v>
      </c>
      <c r="O30" s="505">
        <f t="shared" si="5"/>
        <v>0</v>
      </c>
      <c r="P30" s="279"/>
      <c r="R30" s="244"/>
      <c r="S30" s="244"/>
      <c r="T30" s="244"/>
      <c r="U30" s="244"/>
    </row>
    <row r="31" spans="3:21" ht="12.5">
      <c r="C31" s="496">
        <f>IF(D11="","-",+C30+1)</f>
        <v>2030</v>
      </c>
      <c r="D31" s="511">
        <f>IF(F30+SUM(E$17:E30)=D$10,F30,D$10-SUM(E$17:E30))</f>
        <v>42223638.103788078</v>
      </c>
      <c r="E31" s="510">
        <f>IF(+I14&lt;F30,I14,D31)</f>
        <v>2068105.1136363635</v>
      </c>
      <c r="F31" s="511">
        <f t="shared" si="12"/>
        <v>40155532.990151711</v>
      </c>
      <c r="G31" s="512">
        <f t="shared" si="13"/>
        <v>6794971.448359889</v>
      </c>
      <c r="H31" s="478">
        <f t="shared" si="14"/>
        <v>6794971.448359889</v>
      </c>
      <c r="I31" s="501">
        <f t="shared" si="0"/>
        <v>0</v>
      </c>
      <c r="J31" s="501"/>
      <c r="K31" s="513"/>
      <c r="L31" s="505">
        <f t="shared" si="15"/>
        <v>0</v>
      </c>
      <c r="M31" s="513"/>
      <c r="N31" s="505">
        <f t="shared" si="4"/>
        <v>0</v>
      </c>
      <c r="O31" s="505">
        <f t="shared" si="5"/>
        <v>0</v>
      </c>
      <c r="P31" s="279"/>
      <c r="Q31" s="221"/>
      <c r="R31" s="279"/>
      <c r="S31" s="279"/>
      <c r="T31" s="279"/>
      <c r="U31" s="244"/>
    </row>
    <row r="32" spans="3:21" ht="12.5">
      <c r="C32" s="496">
        <f>IF(D12="","-",+C31+1)</f>
        <v>2031</v>
      </c>
      <c r="D32" s="511">
        <f>IF(F31+SUM(E$17:E31)=D$10,F31,D$10-SUM(E$17:E31))</f>
        <v>40155532.990151711</v>
      </c>
      <c r="E32" s="510">
        <f>IF(+I14&lt;F31,I14,D32)</f>
        <v>2068105.1136363635</v>
      </c>
      <c r="F32" s="511">
        <f>+D32-E32</f>
        <v>38087427.876515344</v>
      </c>
      <c r="G32" s="512">
        <f t="shared" si="13"/>
        <v>6557638.241227475</v>
      </c>
      <c r="H32" s="478">
        <f t="shared" si="14"/>
        <v>6557638.241227475</v>
      </c>
      <c r="I32" s="501">
        <f>H32-G32</f>
        <v>0</v>
      </c>
      <c r="J32" s="501"/>
      <c r="K32" s="513"/>
      <c r="L32" s="505">
        <f>IF(K32&lt;&gt;0,+G32-K32,0)</f>
        <v>0</v>
      </c>
      <c r="M32" s="513"/>
      <c r="N32" s="505">
        <f>IF(M32&lt;&gt;0,+H32-M32,0)</f>
        <v>0</v>
      </c>
      <c r="O32" s="505">
        <f>+N32-L32</f>
        <v>0</v>
      </c>
      <c r="P32" s="279"/>
      <c r="Q32" s="221"/>
      <c r="R32" s="279"/>
      <c r="S32" s="279"/>
      <c r="T32" s="279"/>
      <c r="U32" s="244"/>
    </row>
    <row r="33" spans="3:21" ht="12.5">
      <c r="C33" s="496">
        <f>IF(D13="","-",+C32+1)</f>
        <v>2032</v>
      </c>
      <c r="D33" s="511">
        <f>IF(F32+SUM(E$17:E32)=D$10,F32,D$10-SUM(E$17:E32))</f>
        <v>38087427.876515344</v>
      </c>
      <c r="E33" s="510">
        <f>IF(+I14&lt;F32,I14,D33)</f>
        <v>2068105.1136363635</v>
      </c>
      <c r="F33" s="511">
        <f>+D33-E33</f>
        <v>36019322.762878977</v>
      </c>
      <c r="G33" s="512">
        <f t="shared" si="13"/>
        <v>6320305.0340950591</v>
      </c>
      <c r="H33" s="478">
        <f t="shared" si="14"/>
        <v>6320305.0340950591</v>
      </c>
      <c r="I33" s="501">
        <f>H33-G33</f>
        <v>0</v>
      </c>
      <c r="J33" s="501"/>
      <c r="K33" s="513"/>
      <c r="L33" s="505">
        <f>IF(K33&lt;&gt;0,+G33-K33,0)</f>
        <v>0</v>
      </c>
      <c r="M33" s="513"/>
      <c r="N33" s="505">
        <f>IF(M33&lt;&gt;0,+H33-M33,0)</f>
        <v>0</v>
      </c>
      <c r="O33" s="505">
        <f>+N33-L33</f>
        <v>0</v>
      </c>
      <c r="P33" s="279"/>
      <c r="R33" s="244"/>
      <c r="S33" s="244"/>
      <c r="T33" s="244"/>
      <c r="U33" s="244"/>
    </row>
    <row r="34" spans="3:21" ht="12.5">
      <c r="C34" s="514">
        <f>IF(D11="","-",+C33+1)</f>
        <v>2033</v>
      </c>
      <c r="D34" s="517">
        <f>IF(F33+SUM(E$17:E33)=D$10,F33,D$10-SUM(E$17:E33))</f>
        <v>36019322.762878977</v>
      </c>
      <c r="E34" s="516">
        <f>IF(+I14&lt;F33,I14,D34)</f>
        <v>2068105.1136363635</v>
      </c>
      <c r="F34" s="517">
        <f t="shared" si="12"/>
        <v>33951217.64924261</v>
      </c>
      <c r="G34" s="512">
        <f t="shared" si="13"/>
        <v>6082971.8269626461</v>
      </c>
      <c r="H34" s="478">
        <f t="shared" si="14"/>
        <v>6082971.8269626461</v>
      </c>
      <c r="I34" s="520">
        <f t="shared" si="0"/>
        <v>0</v>
      </c>
      <c r="J34" s="520"/>
      <c r="K34" s="521"/>
      <c r="L34" s="522">
        <f t="shared" si="15"/>
        <v>0</v>
      </c>
      <c r="M34" s="521"/>
      <c r="N34" s="522">
        <f t="shared" si="4"/>
        <v>0</v>
      </c>
      <c r="O34" s="522">
        <f t="shared" si="5"/>
        <v>0</v>
      </c>
      <c r="P34" s="523"/>
      <c r="Q34" s="217"/>
      <c r="R34" s="523"/>
      <c r="S34" s="523"/>
      <c r="T34" s="523"/>
      <c r="U34" s="244"/>
    </row>
    <row r="35" spans="3:21" ht="12.5">
      <c r="C35" s="496">
        <f>IF(D11="","-",+C34+1)</f>
        <v>2034</v>
      </c>
      <c r="D35" s="511">
        <f>IF(F34+SUM(E$17:E34)=D$10,F34,D$10-SUM(E$17:E34))</f>
        <v>33951217.64924261</v>
      </c>
      <c r="E35" s="510">
        <f>IF(+I14&lt;F34,I14,D35)</f>
        <v>2068105.1136363635</v>
      </c>
      <c r="F35" s="511">
        <f t="shared" si="12"/>
        <v>31883112.535606246</v>
      </c>
      <c r="G35" s="512">
        <f t="shared" si="13"/>
        <v>5845638.6198302312</v>
      </c>
      <c r="H35" s="478">
        <f t="shared" si="14"/>
        <v>5845638.6198302312</v>
      </c>
      <c r="I35" s="501">
        <f t="shared" si="0"/>
        <v>0</v>
      </c>
      <c r="J35" s="501"/>
      <c r="K35" s="513"/>
      <c r="L35" s="505">
        <f t="shared" si="15"/>
        <v>0</v>
      </c>
      <c r="M35" s="513"/>
      <c r="N35" s="505">
        <f t="shared" si="4"/>
        <v>0</v>
      </c>
      <c r="O35" s="505">
        <f t="shared" si="5"/>
        <v>0</v>
      </c>
      <c r="P35" s="279"/>
      <c r="R35" s="244"/>
      <c r="S35" s="244"/>
      <c r="T35" s="244"/>
      <c r="U35" s="244"/>
    </row>
    <row r="36" spans="3:21" ht="12.5">
      <c r="C36" s="496">
        <f>IF(D11="","-",+C35+1)</f>
        <v>2035</v>
      </c>
      <c r="D36" s="511">
        <f>IF(F35+SUM(E$17:E35)=D$10,F35,D$10-SUM(E$17:E35))</f>
        <v>31883112.535606246</v>
      </c>
      <c r="E36" s="510">
        <f>IF(+I14&lt;F35,I14,D36)</f>
        <v>2068105.1136363635</v>
      </c>
      <c r="F36" s="511">
        <f t="shared" si="12"/>
        <v>29815007.421969883</v>
      </c>
      <c r="G36" s="512">
        <f t="shared" si="13"/>
        <v>5608305.4126978172</v>
      </c>
      <c r="H36" s="478">
        <f t="shared" si="14"/>
        <v>5608305.4126978172</v>
      </c>
      <c r="I36" s="501">
        <f t="shared" si="0"/>
        <v>0</v>
      </c>
      <c r="J36" s="501"/>
      <c r="K36" s="513"/>
      <c r="L36" s="505">
        <f t="shared" si="15"/>
        <v>0</v>
      </c>
      <c r="M36" s="513"/>
      <c r="N36" s="505">
        <f t="shared" si="4"/>
        <v>0</v>
      </c>
      <c r="O36" s="505">
        <f t="shared" si="5"/>
        <v>0</v>
      </c>
      <c r="P36" s="279"/>
      <c r="R36" s="244"/>
      <c r="S36" s="244"/>
      <c r="T36" s="244"/>
      <c r="U36" s="244"/>
    </row>
    <row r="37" spans="3:21" ht="12.5">
      <c r="C37" s="496">
        <f>IF(D11="","-",+C36+1)</f>
        <v>2036</v>
      </c>
      <c r="D37" s="511">
        <f>IF(F36+SUM(E$17:E36)=D$10,F36,D$10-SUM(E$17:E36))</f>
        <v>29815007.421969883</v>
      </c>
      <c r="E37" s="510">
        <f>IF(+I14&lt;F36,I14,D37)</f>
        <v>2068105.1136363635</v>
      </c>
      <c r="F37" s="511">
        <f t="shared" si="12"/>
        <v>27746902.30833352</v>
      </c>
      <c r="G37" s="512">
        <f t="shared" si="13"/>
        <v>5370972.2055654032</v>
      </c>
      <c r="H37" s="478">
        <f t="shared" si="14"/>
        <v>5370972.2055654032</v>
      </c>
      <c r="I37" s="501">
        <f t="shared" si="0"/>
        <v>0</v>
      </c>
      <c r="J37" s="501"/>
      <c r="K37" s="513"/>
      <c r="L37" s="505">
        <f t="shared" si="15"/>
        <v>0</v>
      </c>
      <c r="M37" s="513"/>
      <c r="N37" s="505">
        <f t="shared" si="4"/>
        <v>0</v>
      </c>
      <c r="O37" s="505">
        <f t="shared" si="5"/>
        <v>0</v>
      </c>
      <c r="P37" s="279"/>
      <c r="R37" s="244"/>
      <c r="S37" s="244"/>
      <c r="T37" s="244"/>
      <c r="U37" s="244"/>
    </row>
    <row r="38" spans="3:21" ht="12.5">
      <c r="C38" s="496">
        <f>IF(D11="","-",+C37+1)</f>
        <v>2037</v>
      </c>
      <c r="D38" s="511">
        <f>IF(F37+SUM(E$17:E37)=D$10,F37,D$10-SUM(E$17:E37))</f>
        <v>27746902.30833352</v>
      </c>
      <c r="E38" s="510">
        <f>IF(+I14&lt;F37,I14,D38)</f>
        <v>2068105.1136363635</v>
      </c>
      <c r="F38" s="511">
        <f t="shared" si="12"/>
        <v>25678797.194697157</v>
      </c>
      <c r="G38" s="512">
        <f t="shared" si="13"/>
        <v>5133638.9984329883</v>
      </c>
      <c r="H38" s="478">
        <f t="shared" si="14"/>
        <v>5133638.9984329883</v>
      </c>
      <c r="I38" s="501">
        <f t="shared" si="0"/>
        <v>0</v>
      </c>
      <c r="J38" s="501"/>
      <c r="K38" s="513"/>
      <c r="L38" s="505">
        <f t="shared" si="15"/>
        <v>0</v>
      </c>
      <c r="M38" s="513"/>
      <c r="N38" s="505">
        <f t="shared" si="4"/>
        <v>0</v>
      </c>
      <c r="O38" s="505">
        <f t="shared" si="5"/>
        <v>0</v>
      </c>
      <c r="P38" s="279"/>
      <c r="R38" s="244"/>
      <c r="S38" s="244"/>
      <c r="T38" s="244"/>
      <c r="U38" s="244"/>
    </row>
    <row r="39" spans="3:21" ht="12.5">
      <c r="C39" s="496">
        <f>IF(D11="","-",+C38+1)</f>
        <v>2038</v>
      </c>
      <c r="D39" s="511">
        <f>IF(F38+SUM(E$17:E38)=D$10,F38,D$10-SUM(E$17:E38))</f>
        <v>25678797.194697157</v>
      </c>
      <c r="E39" s="510">
        <f>IF(+I14&lt;F38,I14,D39)</f>
        <v>2068105.1136363635</v>
      </c>
      <c r="F39" s="511">
        <f t="shared" si="12"/>
        <v>23610692.081060793</v>
      </c>
      <c r="G39" s="512">
        <f t="shared" si="13"/>
        <v>4896305.7913005752</v>
      </c>
      <c r="H39" s="478">
        <f t="shared" si="14"/>
        <v>4896305.7913005752</v>
      </c>
      <c r="I39" s="501">
        <f t="shared" si="0"/>
        <v>0</v>
      </c>
      <c r="J39" s="501"/>
      <c r="K39" s="513"/>
      <c r="L39" s="505">
        <f t="shared" si="15"/>
        <v>0</v>
      </c>
      <c r="M39" s="513"/>
      <c r="N39" s="505">
        <f t="shared" si="4"/>
        <v>0</v>
      </c>
      <c r="O39" s="505">
        <f t="shared" si="5"/>
        <v>0</v>
      </c>
      <c r="P39" s="279"/>
      <c r="R39" s="244"/>
      <c r="S39" s="244"/>
      <c r="T39" s="244"/>
      <c r="U39" s="244"/>
    </row>
    <row r="40" spans="3:21" ht="12.5">
      <c r="C40" s="496">
        <f>IF(D11="","-",+C39+1)</f>
        <v>2039</v>
      </c>
      <c r="D40" s="511">
        <f>IF(F39+SUM(E$17:E39)=D$10,F39,D$10-SUM(E$17:E39))</f>
        <v>23610692.081060793</v>
      </c>
      <c r="E40" s="510">
        <f>IF(+I14&lt;F39,I14,D40)</f>
        <v>2068105.1136363635</v>
      </c>
      <c r="F40" s="511">
        <f t="shared" si="12"/>
        <v>21542586.96742443</v>
      </c>
      <c r="G40" s="512">
        <f t="shared" si="13"/>
        <v>4658972.5841681603</v>
      </c>
      <c r="H40" s="478">
        <f t="shared" si="14"/>
        <v>4658972.5841681603</v>
      </c>
      <c r="I40" s="501">
        <f t="shared" si="0"/>
        <v>0</v>
      </c>
      <c r="J40" s="501"/>
      <c r="K40" s="513"/>
      <c r="L40" s="505">
        <f t="shared" si="15"/>
        <v>0</v>
      </c>
      <c r="M40" s="513"/>
      <c r="N40" s="505">
        <f t="shared" si="4"/>
        <v>0</v>
      </c>
      <c r="O40" s="505">
        <f t="shared" si="5"/>
        <v>0</v>
      </c>
      <c r="P40" s="279"/>
      <c r="R40" s="244"/>
      <c r="S40" s="244"/>
      <c r="T40" s="244"/>
      <c r="U40" s="244"/>
    </row>
    <row r="41" spans="3:21" ht="12.5">
      <c r="C41" s="496">
        <f>IF(D12="","-",+C40+1)</f>
        <v>2040</v>
      </c>
      <c r="D41" s="511">
        <f>IF(F40+SUM(E$17:E40)=D$10,F40,D$10-SUM(E$17:E40))</f>
        <v>21542586.96742443</v>
      </c>
      <c r="E41" s="510">
        <f>IF(+I14&lt;F40,I14,D41)</f>
        <v>2068105.1136363635</v>
      </c>
      <c r="F41" s="511">
        <f t="shared" si="12"/>
        <v>19474481.853788067</v>
      </c>
      <c r="G41" s="512">
        <f t="shared" si="13"/>
        <v>4421639.3770357464</v>
      </c>
      <c r="H41" s="478">
        <f t="shared" si="14"/>
        <v>4421639.3770357464</v>
      </c>
      <c r="I41" s="501">
        <f t="shared" si="0"/>
        <v>0</v>
      </c>
      <c r="J41" s="501"/>
      <c r="K41" s="513"/>
      <c r="L41" s="505">
        <f t="shared" si="15"/>
        <v>0</v>
      </c>
      <c r="M41" s="513"/>
      <c r="N41" s="505">
        <f t="shared" si="4"/>
        <v>0</v>
      </c>
      <c r="O41" s="505">
        <f t="shared" si="5"/>
        <v>0</v>
      </c>
      <c r="P41" s="279"/>
      <c r="R41" s="244"/>
      <c r="S41" s="244"/>
      <c r="T41" s="244"/>
      <c r="U41" s="244"/>
    </row>
    <row r="42" spans="3:21" ht="12.5">
      <c r="C42" s="496">
        <f>IF(D13="","-",+C41+1)</f>
        <v>2041</v>
      </c>
      <c r="D42" s="511">
        <f>IF(F41+SUM(E$17:E41)=D$10,F41,D$10-SUM(E$17:E41))</f>
        <v>19474481.853788067</v>
      </c>
      <c r="E42" s="510">
        <f>IF(+I14&lt;F41,I14,D42)</f>
        <v>2068105.1136363635</v>
      </c>
      <c r="F42" s="511">
        <f t="shared" si="12"/>
        <v>17406376.740151703</v>
      </c>
      <c r="G42" s="512">
        <f t="shared" si="13"/>
        <v>4184306.1699033324</v>
      </c>
      <c r="H42" s="478">
        <f t="shared" si="14"/>
        <v>4184306.1699033324</v>
      </c>
      <c r="I42" s="501">
        <f t="shared" si="0"/>
        <v>0</v>
      </c>
      <c r="J42" s="501"/>
      <c r="K42" s="513"/>
      <c r="L42" s="505">
        <f t="shared" si="15"/>
        <v>0</v>
      </c>
      <c r="M42" s="513"/>
      <c r="N42" s="505">
        <f t="shared" si="4"/>
        <v>0</v>
      </c>
      <c r="O42" s="505">
        <f t="shared" si="5"/>
        <v>0</v>
      </c>
      <c r="P42" s="279"/>
      <c r="R42" s="244"/>
      <c r="S42" s="244"/>
      <c r="T42" s="244"/>
      <c r="U42" s="244"/>
    </row>
    <row r="43" spans="3:21" ht="12.5">
      <c r="C43" s="496">
        <f>IF(D14="","-",+C42+1)</f>
        <v>2042</v>
      </c>
      <c r="D43" s="511">
        <f>IF(F42+SUM(E$17:E42)=D$10,F42,D$10-SUM(E$17:E42))</f>
        <v>17406376.740151703</v>
      </c>
      <c r="E43" s="510">
        <f>IF(+I14&lt;F42,I14,D43)</f>
        <v>2068105.1136363635</v>
      </c>
      <c r="F43" s="511">
        <f t="shared" si="12"/>
        <v>15338271.62651534</v>
      </c>
      <c r="G43" s="512">
        <f t="shared" si="13"/>
        <v>3946972.9627709184</v>
      </c>
      <c r="H43" s="478">
        <f t="shared" si="14"/>
        <v>3946972.9627709184</v>
      </c>
      <c r="I43" s="501">
        <f t="shared" si="0"/>
        <v>0</v>
      </c>
      <c r="J43" s="501"/>
      <c r="K43" s="513"/>
      <c r="L43" s="505">
        <f t="shared" si="15"/>
        <v>0</v>
      </c>
      <c r="M43" s="513"/>
      <c r="N43" s="505">
        <f t="shared" si="4"/>
        <v>0</v>
      </c>
      <c r="O43" s="505">
        <f t="shared" si="5"/>
        <v>0</v>
      </c>
      <c r="P43" s="279"/>
      <c r="R43" s="244"/>
      <c r="S43" s="244"/>
      <c r="T43" s="244"/>
      <c r="U43" s="244"/>
    </row>
    <row r="44" spans="3:21" ht="12.5">
      <c r="C44" s="496">
        <f>IF(D11="","-",+C43+1)</f>
        <v>2043</v>
      </c>
      <c r="D44" s="511">
        <f>IF(F43+SUM(E$17:E43)=D$10,F43,D$10-SUM(E$17:E43))</f>
        <v>15338271.62651534</v>
      </c>
      <c r="E44" s="510">
        <f>IF(+I14&lt;F43,I14,D44)</f>
        <v>2068105.1136363635</v>
      </c>
      <c r="F44" s="511">
        <f t="shared" si="12"/>
        <v>13270166.512878977</v>
      </c>
      <c r="G44" s="512">
        <f t="shared" si="13"/>
        <v>3709639.7556385044</v>
      </c>
      <c r="H44" s="478">
        <f t="shared" si="14"/>
        <v>3709639.7556385044</v>
      </c>
      <c r="I44" s="501">
        <f t="shared" si="0"/>
        <v>0</v>
      </c>
      <c r="J44" s="501"/>
      <c r="K44" s="513"/>
      <c r="L44" s="505">
        <f t="shared" si="15"/>
        <v>0</v>
      </c>
      <c r="M44" s="513"/>
      <c r="N44" s="505">
        <f t="shared" si="4"/>
        <v>0</v>
      </c>
      <c r="O44" s="505">
        <f t="shared" si="5"/>
        <v>0</v>
      </c>
      <c r="P44" s="279"/>
      <c r="R44" s="244"/>
      <c r="S44" s="244"/>
      <c r="T44" s="244"/>
      <c r="U44" s="244"/>
    </row>
    <row r="45" spans="3:21" ht="12.5">
      <c r="C45" s="496">
        <f>IF(D11="","-",+C44+1)</f>
        <v>2044</v>
      </c>
      <c r="D45" s="511">
        <f>IF(F44+SUM(E$17:E44)=D$10,F44,D$10-SUM(E$17:E44))</f>
        <v>13270166.512878977</v>
      </c>
      <c r="E45" s="510">
        <f>IF(+I14&lt;F44,I14,D45)</f>
        <v>2068105.1136363635</v>
      </c>
      <c r="F45" s="511">
        <f t="shared" si="12"/>
        <v>11202061.399242613</v>
      </c>
      <c r="G45" s="512">
        <f t="shared" si="13"/>
        <v>3472306.54850609</v>
      </c>
      <c r="H45" s="478">
        <f t="shared" si="14"/>
        <v>3472306.54850609</v>
      </c>
      <c r="I45" s="501">
        <f t="shared" si="0"/>
        <v>0</v>
      </c>
      <c r="J45" s="501"/>
      <c r="K45" s="513"/>
      <c r="L45" s="505">
        <f t="shared" si="15"/>
        <v>0</v>
      </c>
      <c r="M45" s="513"/>
      <c r="N45" s="505">
        <f t="shared" si="4"/>
        <v>0</v>
      </c>
      <c r="O45" s="505">
        <f t="shared" si="5"/>
        <v>0</v>
      </c>
      <c r="P45" s="279"/>
      <c r="R45" s="244"/>
      <c r="S45" s="244"/>
      <c r="T45" s="244"/>
      <c r="U45" s="244"/>
    </row>
    <row r="46" spans="3:21" ht="12.5">
      <c r="C46" s="496">
        <f>IF(D11="","-",+C45+1)</f>
        <v>2045</v>
      </c>
      <c r="D46" s="511">
        <f>IF(F45+SUM(E$17:E45)=D$10,F45,D$10-SUM(E$17:E45))</f>
        <v>11202061.399242613</v>
      </c>
      <c r="E46" s="510">
        <f>IF(+I14&lt;F45,I14,D46)</f>
        <v>2068105.1136363635</v>
      </c>
      <c r="F46" s="511">
        <f t="shared" si="12"/>
        <v>9133956.2856062502</v>
      </c>
      <c r="G46" s="512">
        <f t="shared" si="13"/>
        <v>3234973.3413736755</v>
      </c>
      <c r="H46" s="478">
        <f t="shared" si="14"/>
        <v>3234973.3413736755</v>
      </c>
      <c r="I46" s="501">
        <f t="shared" si="0"/>
        <v>0</v>
      </c>
      <c r="J46" s="501"/>
      <c r="K46" s="513"/>
      <c r="L46" s="505">
        <f t="shared" si="15"/>
        <v>0</v>
      </c>
      <c r="M46" s="513"/>
      <c r="N46" s="505">
        <f t="shared" si="4"/>
        <v>0</v>
      </c>
      <c r="O46" s="505">
        <f t="shared" si="5"/>
        <v>0</v>
      </c>
      <c r="P46" s="279"/>
      <c r="R46" s="244"/>
      <c r="S46" s="244"/>
      <c r="T46" s="244"/>
      <c r="U46" s="244"/>
    </row>
    <row r="47" spans="3:21" ht="12.5">
      <c r="C47" s="496">
        <f>IF(D11="","-",+C46+1)</f>
        <v>2046</v>
      </c>
      <c r="D47" s="511">
        <f>IF(F46+SUM(E$17:E46)=D$10,F46,D$10-SUM(E$17:E46))</f>
        <v>9133956.2856062502</v>
      </c>
      <c r="E47" s="510">
        <f>IF(+I14&lt;F46,I14,D47)</f>
        <v>2068105.1136363635</v>
      </c>
      <c r="F47" s="511">
        <f t="shared" si="12"/>
        <v>7065851.1719698869</v>
      </c>
      <c r="G47" s="512">
        <f t="shared" si="13"/>
        <v>2997640.1342412615</v>
      </c>
      <c r="H47" s="478">
        <f t="shared" si="14"/>
        <v>2997640.1342412615</v>
      </c>
      <c r="I47" s="501">
        <f t="shared" si="0"/>
        <v>0</v>
      </c>
      <c r="J47" s="501"/>
      <c r="K47" s="513"/>
      <c r="L47" s="505">
        <f t="shared" si="15"/>
        <v>0</v>
      </c>
      <c r="M47" s="513"/>
      <c r="N47" s="505">
        <f t="shared" si="4"/>
        <v>0</v>
      </c>
      <c r="O47" s="505">
        <f t="shared" si="5"/>
        <v>0</v>
      </c>
      <c r="P47" s="279"/>
      <c r="R47" s="244"/>
      <c r="S47" s="244"/>
      <c r="T47" s="244"/>
      <c r="U47" s="244"/>
    </row>
    <row r="48" spans="3:21" ht="12.5">
      <c r="C48" s="496">
        <f>IF(D11="","-",+C47+1)</f>
        <v>2047</v>
      </c>
      <c r="D48" s="511">
        <f>IF(F47+SUM(E$17:E47)=D$10,F47,D$10-SUM(E$17:E47))</f>
        <v>7065851.1719698869</v>
      </c>
      <c r="E48" s="510">
        <f>IF(+I14&lt;F47,I14,D48)</f>
        <v>2068105.1136363635</v>
      </c>
      <c r="F48" s="511">
        <f t="shared" si="12"/>
        <v>4997746.0583335236</v>
      </c>
      <c r="G48" s="512">
        <f t="shared" si="13"/>
        <v>2760306.9271088475</v>
      </c>
      <c r="H48" s="478">
        <f t="shared" si="14"/>
        <v>2760306.9271088475</v>
      </c>
      <c r="I48" s="501">
        <f t="shared" si="0"/>
        <v>0</v>
      </c>
      <c r="J48" s="501"/>
      <c r="K48" s="513"/>
      <c r="L48" s="505">
        <f t="shared" si="15"/>
        <v>0</v>
      </c>
      <c r="M48" s="513"/>
      <c r="N48" s="505">
        <f t="shared" si="4"/>
        <v>0</v>
      </c>
      <c r="O48" s="505">
        <f t="shared" si="5"/>
        <v>0</v>
      </c>
      <c r="P48" s="279"/>
      <c r="R48" s="244"/>
      <c r="S48" s="244"/>
      <c r="T48" s="244"/>
      <c r="U48" s="244"/>
    </row>
    <row r="49" spans="3:21" ht="12.5">
      <c r="C49" s="496">
        <f>IF(D11="","-",+C48+1)</f>
        <v>2048</v>
      </c>
      <c r="D49" s="511">
        <f>IF(F48+SUM(E$17:E48)=D$10,F48,D$10-SUM(E$17:E48))</f>
        <v>4997746.0583335236</v>
      </c>
      <c r="E49" s="510">
        <f>IF(+I14&lt;F48,I14,D49)</f>
        <v>2068105.1136363635</v>
      </c>
      <c r="F49" s="511">
        <f t="shared" si="12"/>
        <v>2929640.9446971603</v>
      </c>
      <c r="G49" s="512">
        <f t="shared" si="13"/>
        <v>2522973.7199764336</v>
      </c>
      <c r="H49" s="478">
        <f t="shared" si="14"/>
        <v>2522973.7199764336</v>
      </c>
      <c r="I49" s="501">
        <f t="shared" si="0"/>
        <v>0</v>
      </c>
      <c r="J49" s="501"/>
      <c r="K49" s="513"/>
      <c r="L49" s="505">
        <f t="shared" si="15"/>
        <v>0</v>
      </c>
      <c r="M49" s="513"/>
      <c r="N49" s="505">
        <f t="shared" si="4"/>
        <v>0</v>
      </c>
      <c r="O49" s="505">
        <f t="shared" si="5"/>
        <v>0</v>
      </c>
      <c r="P49" s="279"/>
      <c r="R49" s="244"/>
      <c r="S49" s="244"/>
      <c r="T49" s="244"/>
      <c r="U49" s="244"/>
    </row>
    <row r="50" spans="3:21" ht="12.5">
      <c r="C50" s="496">
        <f>IF(D11="","-",+C49+1)</f>
        <v>2049</v>
      </c>
      <c r="D50" s="511">
        <f>IF(F49+SUM(E$17:E49)=D$10,F49,D$10-SUM(E$17:E49))</f>
        <v>2929640.9446971603</v>
      </c>
      <c r="E50" s="510">
        <f>IF(+I14&lt;F49,I14,D50)</f>
        <v>2068105.1136363635</v>
      </c>
      <c r="F50" s="511">
        <f t="shared" si="12"/>
        <v>861535.83106079674</v>
      </c>
      <c r="G50" s="512">
        <f t="shared" si="13"/>
        <v>2285640.5128440191</v>
      </c>
      <c r="H50" s="478">
        <f t="shared" si="14"/>
        <v>2285640.5128440191</v>
      </c>
      <c r="I50" s="501">
        <f t="shared" si="0"/>
        <v>0</v>
      </c>
      <c r="J50" s="501"/>
      <c r="K50" s="513"/>
      <c r="L50" s="505">
        <f t="shared" si="15"/>
        <v>0</v>
      </c>
      <c r="M50" s="513"/>
      <c r="N50" s="505">
        <f t="shared" si="4"/>
        <v>0</v>
      </c>
      <c r="O50" s="505">
        <f t="shared" si="5"/>
        <v>0</v>
      </c>
      <c r="P50" s="279"/>
      <c r="R50" s="244"/>
      <c r="S50" s="244"/>
      <c r="T50" s="244"/>
      <c r="U50" s="244"/>
    </row>
    <row r="51" spans="3:21" ht="12.5">
      <c r="C51" s="496">
        <f>IF(D11="","-",+C50+1)</f>
        <v>2050</v>
      </c>
      <c r="D51" s="511">
        <f>IF(F50+SUM(E$17:E50)=D$10,F50,D$10-SUM(E$17:E50))</f>
        <v>861535.83106079674</v>
      </c>
      <c r="E51" s="510">
        <f>IF(+I14&lt;F50,I14,D51)</f>
        <v>861535.83106079674</v>
      </c>
      <c r="F51" s="511">
        <f t="shared" si="12"/>
        <v>0</v>
      </c>
      <c r="G51" s="512">
        <f t="shared" si="13"/>
        <v>910970.22888152103</v>
      </c>
      <c r="H51" s="478">
        <f t="shared" si="14"/>
        <v>910970.22888152103</v>
      </c>
      <c r="I51" s="501">
        <f t="shared" si="0"/>
        <v>0</v>
      </c>
      <c r="J51" s="501"/>
      <c r="K51" s="513"/>
      <c r="L51" s="505">
        <f t="shared" si="15"/>
        <v>0</v>
      </c>
      <c r="M51" s="513"/>
      <c r="N51" s="505">
        <f t="shared" si="4"/>
        <v>0</v>
      </c>
      <c r="O51" s="505">
        <f t="shared" si="5"/>
        <v>0</v>
      </c>
      <c r="P51" s="279"/>
      <c r="R51" s="244"/>
      <c r="S51" s="244"/>
      <c r="T51" s="244"/>
      <c r="U51" s="244"/>
    </row>
    <row r="52" spans="3:21" ht="12.5">
      <c r="C52" s="496">
        <f>IF(D11="","-",+C51+1)</f>
        <v>2051</v>
      </c>
      <c r="D52" s="511">
        <f>IF(F51+SUM(E$17:E51)=D$10,F51,D$10-SUM(E$17:E51))</f>
        <v>0</v>
      </c>
      <c r="E52" s="510">
        <f>IF(+I14&lt;F51,I14,D52)</f>
        <v>0</v>
      </c>
      <c r="F52" s="511">
        <f t="shared" si="12"/>
        <v>0</v>
      </c>
      <c r="G52" s="512">
        <f t="shared" si="13"/>
        <v>0</v>
      </c>
      <c r="H52" s="478">
        <f t="shared" si="14"/>
        <v>0</v>
      </c>
      <c r="I52" s="501">
        <f t="shared" si="0"/>
        <v>0</v>
      </c>
      <c r="J52" s="501"/>
      <c r="K52" s="513"/>
      <c r="L52" s="505">
        <f t="shared" si="15"/>
        <v>0</v>
      </c>
      <c r="M52" s="513"/>
      <c r="N52" s="505">
        <f t="shared" si="4"/>
        <v>0</v>
      </c>
      <c r="O52" s="505">
        <f t="shared" si="5"/>
        <v>0</v>
      </c>
      <c r="P52" s="279"/>
      <c r="R52" s="244"/>
      <c r="S52" s="244"/>
      <c r="T52" s="244"/>
      <c r="U52" s="244"/>
    </row>
    <row r="53" spans="3:21" ht="12.5">
      <c r="C53" s="496">
        <f>IF(D11="","-",+C52+1)</f>
        <v>2052</v>
      </c>
      <c r="D53" s="511">
        <f>IF(F52+SUM(E$17:E52)=D$10,F52,D$10-SUM(E$17:E52))</f>
        <v>0</v>
      </c>
      <c r="E53" s="510">
        <f>IF(+I14&lt;F52,I14,D53)</f>
        <v>0</v>
      </c>
      <c r="F53" s="511">
        <f t="shared" si="12"/>
        <v>0</v>
      </c>
      <c r="G53" s="512">
        <f t="shared" si="13"/>
        <v>0</v>
      </c>
      <c r="H53" s="478">
        <f t="shared" si="14"/>
        <v>0</v>
      </c>
      <c r="I53" s="501">
        <f t="shared" si="0"/>
        <v>0</v>
      </c>
      <c r="J53" s="501"/>
      <c r="K53" s="513"/>
      <c r="L53" s="505">
        <f t="shared" si="15"/>
        <v>0</v>
      </c>
      <c r="M53" s="513"/>
      <c r="N53" s="505">
        <f t="shared" si="4"/>
        <v>0</v>
      </c>
      <c r="O53" s="505">
        <f t="shared" si="5"/>
        <v>0</v>
      </c>
      <c r="P53" s="279"/>
      <c r="R53" s="244"/>
      <c r="S53" s="244"/>
      <c r="T53" s="244"/>
      <c r="U53" s="244"/>
    </row>
    <row r="54" spans="3:21" ht="12.5">
      <c r="C54" s="496">
        <f>IF(D11="","-",+C53+1)</f>
        <v>2053</v>
      </c>
      <c r="D54" s="511">
        <f>IF(F53+SUM(E$17:E53)=D$10,F53,D$10-SUM(E$17:E53))</f>
        <v>0</v>
      </c>
      <c r="E54" s="510">
        <f>IF(+I14&lt;F53,I14,D54)</f>
        <v>0</v>
      </c>
      <c r="F54" s="511">
        <f t="shared" si="12"/>
        <v>0</v>
      </c>
      <c r="G54" s="512">
        <f t="shared" si="13"/>
        <v>0</v>
      </c>
      <c r="H54" s="478">
        <f t="shared" si="14"/>
        <v>0</v>
      </c>
      <c r="I54" s="501">
        <f t="shared" si="0"/>
        <v>0</v>
      </c>
      <c r="J54" s="501"/>
      <c r="K54" s="513"/>
      <c r="L54" s="505">
        <f t="shared" si="15"/>
        <v>0</v>
      </c>
      <c r="M54" s="513"/>
      <c r="N54" s="505">
        <f t="shared" si="4"/>
        <v>0</v>
      </c>
      <c r="O54" s="505">
        <f t="shared" si="5"/>
        <v>0</v>
      </c>
      <c r="P54" s="279"/>
      <c r="R54" s="244"/>
      <c r="S54" s="244"/>
      <c r="T54" s="244"/>
      <c r="U54" s="244"/>
    </row>
    <row r="55" spans="3:21" ht="12.5">
      <c r="C55" s="496">
        <f>IF(D11="","-",+C54+1)</f>
        <v>2054</v>
      </c>
      <c r="D55" s="511">
        <f>IF(F54+SUM(E$17:E54)=D$10,F54,D$10-SUM(E$17:E54))</f>
        <v>0</v>
      </c>
      <c r="E55" s="510">
        <f>IF(+I14&lt;F54,I14,D55)</f>
        <v>0</v>
      </c>
      <c r="F55" s="511">
        <f t="shared" si="12"/>
        <v>0</v>
      </c>
      <c r="G55" s="512">
        <f t="shared" si="13"/>
        <v>0</v>
      </c>
      <c r="H55" s="478">
        <f t="shared" si="14"/>
        <v>0</v>
      </c>
      <c r="I55" s="501">
        <f t="shared" si="0"/>
        <v>0</v>
      </c>
      <c r="J55" s="501"/>
      <c r="K55" s="513"/>
      <c r="L55" s="505">
        <f t="shared" si="15"/>
        <v>0</v>
      </c>
      <c r="M55" s="513"/>
      <c r="N55" s="505">
        <f t="shared" si="4"/>
        <v>0</v>
      </c>
      <c r="O55" s="505">
        <f t="shared" si="5"/>
        <v>0</v>
      </c>
      <c r="P55" s="279"/>
      <c r="R55" s="244"/>
      <c r="S55" s="244"/>
      <c r="T55" s="244"/>
      <c r="U55" s="244"/>
    </row>
    <row r="56" spans="3:21" ht="12.5">
      <c r="C56" s="496">
        <f>IF(D11="","-",+C55+1)</f>
        <v>2055</v>
      </c>
      <c r="D56" s="511">
        <f>IF(F55+SUM(E$17:E55)=D$10,F55,D$10-SUM(E$17:E55))</f>
        <v>0</v>
      </c>
      <c r="E56" s="510">
        <f>IF(+I14&lt;F55,I14,D56)</f>
        <v>0</v>
      </c>
      <c r="F56" s="511">
        <f t="shared" si="12"/>
        <v>0</v>
      </c>
      <c r="G56" s="512">
        <f t="shared" si="13"/>
        <v>0</v>
      </c>
      <c r="H56" s="478">
        <f t="shared" si="14"/>
        <v>0</v>
      </c>
      <c r="I56" s="501">
        <f t="shared" si="0"/>
        <v>0</v>
      </c>
      <c r="J56" s="501"/>
      <c r="K56" s="513"/>
      <c r="L56" s="505">
        <f t="shared" si="15"/>
        <v>0</v>
      </c>
      <c r="M56" s="513"/>
      <c r="N56" s="505">
        <f t="shared" si="4"/>
        <v>0</v>
      </c>
      <c r="O56" s="505">
        <f t="shared" si="5"/>
        <v>0</v>
      </c>
      <c r="P56" s="279"/>
      <c r="R56" s="244"/>
      <c r="S56" s="244"/>
      <c r="T56" s="244"/>
      <c r="U56" s="244"/>
    </row>
    <row r="57" spans="3:21" ht="12.5">
      <c r="C57" s="496">
        <f>IF(D11="","-",+C56+1)</f>
        <v>2056</v>
      </c>
      <c r="D57" s="511">
        <f>IF(F56+SUM(E$17:E56)=D$10,F56,D$10-SUM(E$17:E56))</f>
        <v>0</v>
      </c>
      <c r="E57" s="510">
        <f>IF(+I14&lt;F56,I14,D57)</f>
        <v>0</v>
      </c>
      <c r="F57" s="511">
        <f t="shared" si="12"/>
        <v>0</v>
      </c>
      <c r="G57" s="512">
        <f t="shared" si="13"/>
        <v>0</v>
      </c>
      <c r="H57" s="478">
        <f t="shared" si="14"/>
        <v>0</v>
      </c>
      <c r="I57" s="501">
        <f t="shared" si="0"/>
        <v>0</v>
      </c>
      <c r="J57" s="501"/>
      <c r="K57" s="513"/>
      <c r="L57" s="505">
        <f t="shared" si="15"/>
        <v>0</v>
      </c>
      <c r="M57" s="513"/>
      <c r="N57" s="505">
        <f t="shared" si="4"/>
        <v>0</v>
      </c>
      <c r="O57" s="505">
        <f t="shared" si="5"/>
        <v>0</v>
      </c>
      <c r="P57" s="279"/>
      <c r="R57" s="244"/>
      <c r="S57" s="244"/>
      <c r="T57" s="244"/>
      <c r="U57" s="244"/>
    </row>
    <row r="58" spans="3:21" ht="12.5">
      <c r="C58" s="496">
        <f>IF(D11="","-",+C57+1)</f>
        <v>2057</v>
      </c>
      <c r="D58" s="511">
        <f>IF(F57+SUM(E$17:E57)=D$10,F57,D$10-SUM(E$17:E57))</f>
        <v>0</v>
      </c>
      <c r="E58" s="510">
        <f>IF(+I14&lt;F57,I14,D58)</f>
        <v>0</v>
      </c>
      <c r="F58" s="511">
        <f t="shared" si="12"/>
        <v>0</v>
      </c>
      <c r="G58" s="512">
        <f t="shared" si="13"/>
        <v>0</v>
      </c>
      <c r="H58" s="478">
        <f t="shared" si="14"/>
        <v>0</v>
      </c>
      <c r="I58" s="501">
        <f t="shared" si="0"/>
        <v>0</v>
      </c>
      <c r="J58" s="501"/>
      <c r="K58" s="513"/>
      <c r="L58" s="505">
        <f t="shared" si="15"/>
        <v>0</v>
      </c>
      <c r="M58" s="513"/>
      <c r="N58" s="505">
        <f t="shared" si="4"/>
        <v>0</v>
      </c>
      <c r="O58" s="505">
        <f t="shared" si="5"/>
        <v>0</v>
      </c>
      <c r="P58" s="279"/>
      <c r="R58" s="244"/>
      <c r="S58" s="244"/>
      <c r="T58" s="244"/>
      <c r="U58" s="244"/>
    </row>
    <row r="59" spans="3:21" ht="12.5">
      <c r="C59" s="496">
        <f>IF(D11="","-",+C58+1)</f>
        <v>2058</v>
      </c>
      <c r="D59" s="511">
        <f>IF(F58+SUM(E$17:E58)=D$10,F58,D$10-SUM(E$17:E58))</f>
        <v>0</v>
      </c>
      <c r="E59" s="510">
        <f>IF(+I14&lt;F58,I14,D59)</f>
        <v>0</v>
      </c>
      <c r="F59" s="511">
        <f t="shared" si="12"/>
        <v>0</v>
      </c>
      <c r="G59" s="512">
        <f t="shared" si="13"/>
        <v>0</v>
      </c>
      <c r="H59" s="478">
        <f t="shared" si="14"/>
        <v>0</v>
      </c>
      <c r="I59" s="501">
        <f t="shared" si="0"/>
        <v>0</v>
      </c>
      <c r="J59" s="501"/>
      <c r="K59" s="513"/>
      <c r="L59" s="505">
        <f t="shared" si="15"/>
        <v>0</v>
      </c>
      <c r="M59" s="513"/>
      <c r="N59" s="505">
        <f t="shared" si="4"/>
        <v>0</v>
      </c>
      <c r="O59" s="505">
        <f t="shared" si="5"/>
        <v>0</v>
      </c>
      <c r="P59" s="279"/>
      <c r="R59" s="244"/>
      <c r="S59" s="244"/>
      <c r="T59" s="244"/>
      <c r="U59" s="244"/>
    </row>
    <row r="60" spans="3:21" ht="12.5">
      <c r="C60" s="496">
        <f>IF(D11="","-",+C59+1)</f>
        <v>2059</v>
      </c>
      <c r="D60" s="511">
        <f>IF(F59+SUM(E$17:E59)=D$10,F59,D$10-SUM(E$17:E59))</f>
        <v>0</v>
      </c>
      <c r="E60" s="510">
        <f>IF(+I14&lt;F59,I14,D60)</f>
        <v>0</v>
      </c>
      <c r="F60" s="511">
        <f t="shared" si="12"/>
        <v>0</v>
      </c>
      <c r="G60" s="512">
        <f t="shared" si="13"/>
        <v>0</v>
      </c>
      <c r="H60" s="478">
        <f t="shared" si="14"/>
        <v>0</v>
      </c>
      <c r="I60" s="501">
        <f t="shared" si="0"/>
        <v>0</v>
      </c>
      <c r="J60" s="501"/>
      <c r="K60" s="513"/>
      <c r="L60" s="505">
        <f t="shared" si="15"/>
        <v>0</v>
      </c>
      <c r="M60" s="513"/>
      <c r="N60" s="505">
        <f t="shared" si="4"/>
        <v>0</v>
      </c>
      <c r="O60" s="505">
        <f t="shared" si="5"/>
        <v>0</v>
      </c>
      <c r="P60" s="279"/>
      <c r="R60" s="244"/>
      <c r="S60" s="244"/>
      <c r="T60" s="244"/>
      <c r="U60" s="244"/>
    </row>
    <row r="61" spans="3:21" ht="12.5">
      <c r="C61" s="496">
        <f>IF(D11="","-",+C60+1)</f>
        <v>2060</v>
      </c>
      <c r="D61" s="511">
        <f>IF(F60+SUM(E$17:E60)=D$10,F60,D$10-SUM(E$17:E60))</f>
        <v>0</v>
      </c>
      <c r="E61" s="510">
        <f>IF(+I14&lt;F60,I14,D61)</f>
        <v>0</v>
      </c>
      <c r="F61" s="511">
        <f t="shared" si="12"/>
        <v>0</v>
      </c>
      <c r="G61" s="512">
        <f t="shared" si="13"/>
        <v>0</v>
      </c>
      <c r="H61" s="478">
        <f t="shared" si="14"/>
        <v>0</v>
      </c>
      <c r="I61" s="501">
        <f t="shared" si="0"/>
        <v>0</v>
      </c>
      <c r="J61" s="501"/>
      <c r="K61" s="513"/>
      <c r="L61" s="505">
        <f t="shared" si="15"/>
        <v>0</v>
      </c>
      <c r="M61" s="513"/>
      <c r="N61" s="505">
        <f t="shared" si="4"/>
        <v>0</v>
      </c>
      <c r="O61" s="505">
        <f t="shared" si="5"/>
        <v>0</v>
      </c>
      <c r="P61" s="279"/>
      <c r="R61" s="244"/>
      <c r="S61" s="244"/>
      <c r="T61" s="244"/>
      <c r="U61" s="244"/>
    </row>
    <row r="62" spans="3:21" ht="12.5">
      <c r="C62" s="496">
        <f>IF(D11="","-",+C61+1)</f>
        <v>2061</v>
      </c>
      <c r="D62" s="511">
        <f>IF(F61+SUM(E$17:E61)=D$10,F61,D$10-SUM(E$17:E61))</f>
        <v>0</v>
      </c>
      <c r="E62" s="510">
        <f>IF(+I14&lt;F61,I14,D62)</f>
        <v>0</v>
      </c>
      <c r="F62" s="511">
        <f t="shared" si="12"/>
        <v>0</v>
      </c>
      <c r="G62" s="512">
        <f t="shared" si="13"/>
        <v>0</v>
      </c>
      <c r="H62" s="478">
        <f t="shared" si="14"/>
        <v>0</v>
      </c>
      <c r="I62" s="501">
        <f t="shared" si="0"/>
        <v>0</v>
      </c>
      <c r="J62" s="501"/>
      <c r="K62" s="513"/>
      <c r="L62" s="505">
        <f t="shared" si="15"/>
        <v>0</v>
      </c>
      <c r="M62" s="513"/>
      <c r="N62" s="505">
        <f t="shared" si="4"/>
        <v>0</v>
      </c>
      <c r="O62" s="505">
        <f t="shared" si="5"/>
        <v>0</v>
      </c>
      <c r="P62" s="279"/>
      <c r="R62" s="244"/>
      <c r="S62" s="244"/>
      <c r="T62" s="244"/>
      <c r="U62" s="244"/>
    </row>
    <row r="63" spans="3:21" ht="12.5">
      <c r="C63" s="496">
        <f>IF(D11="","-",+C62+1)</f>
        <v>2062</v>
      </c>
      <c r="D63" s="511">
        <f>IF(F62+SUM(E$17:E62)=D$10,F62,D$10-SUM(E$17:E62))</f>
        <v>0</v>
      </c>
      <c r="E63" s="510">
        <f>IF(+I14&lt;F62,I14,D63)</f>
        <v>0</v>
      </c>
      <c r="F63" s="511">
        <f t="shared" si="12"/>
        <v>0</v>
      </c>
      <c r="G63" s="512">
        <f t="shared" si="13"/>
        <v>0</v>
      </c>
      <c r="H63" s="478">
        <f t="shared" si="14"/>
        <v>0</v>
      </c>
      <c r="I63" s="501">
        <f t="shared" si="0"/>
        <v>0</v>
      </c>
      <c r="J63" s="501"/>
      <c r="K63" s="513"/>
      <c r="L63" s="505">
        <f t="shared" si="15"/>
        <v>0</v>
      </c>
      <c r="M63" s="513"/>
      <c r="N63" s="505">
        <f t="shared" si="4"/>
        <v>0</v>
      </c>
      <c r="O63" s="505">
        <f t="shared" si="5"/>
        <v>0</v>
      </c>
      <c r="P63" s="279"/>
      <c r="R63" s="244"/>
      <c r="S63" s="244"/>
      <c r="T63" s="244"/>
      <c r="U63" s="244"/>
    </row>
    <row r="64" spans="3:21" ht="12.5">
      <c r="C64" s="496">
        <f>IF(D11="","-",+C63+1)</f>
        <v>2063</v>
      </c>
      <c r="D64" s="511">
        <f>IF(F63+SUM(E$17:E63)=D$10,F63,D$10-SUM(E$17:E63))</f>
        <v>0</v>
      </c>
      <c r="E64" s="510">
        <f>IF(+I14&lt;F63,I14,D64)</f>
        <v>0</v>
      </c>
      <c r="F64" s="511">
        <f t="shared" si="12"/>
        <v>0</v>
      </c>
      <c r="G64" s="512">
        <f t="shared" si="13"/>
        <v>0</v>
      </c>
      <c r="H64" s="478">
        <f t="shared" si="14"/>
        <v>0</v>
      </c>
      <c r="I64" s="501">
        <f t="shared" si="0"/>
        <v>0</v>
      </c>
      <c r="J64" s="501"/>
      <c r="K64" s="513"/>
      <c r="L64" s="505">
        <f t="shared" si="15"/>
        <v>0</v>
      </c>
      <c r="M64" s="513"/>
      <c r="N64" s="505">
        <f t="shared" si="4"/>
        <v>0</v>
      </c>
      <c r="O64" s="505">
        <f t="shared" si="5"/>
        <v>0</v>
      </c>
      <c r="P64" s="279"/>
      <c r="R64" s="244"/>
      <c r="S64" s="244"/>
      <c r="T64" s="244"/>
      <c r="U64" s="244"/>
    </row>
    <row r="65" spans="2:21" ht="12.5">
      <c r="C65" s="496">
        <f>IF(D11="","-",+C64+1)</f>
        <v>2064</v>
      </c>
      <c r="D65" s="511">
        <f>IF(F64+SUM(E$17:E64)=D$10,F64,D$10-SUM(E$17:E64))</f>
        <v>0</v>
      </c>
      <c r="E65" s="510">
        <f>IF(+I14&lt;F64,I14,D65)</f>
        <v>0</v>
      </c>
      <c r="F65" s="511">
        <f t="shared" si="12"/>
        <v>0</v>
      </c>
      <c r="G65" s="512">
        <f t="shared" si="13"/>
        <v>0</v>
      </c>
      <c r="H65" s="478">
        <f t="shared" si="14"/>
        <v>0</v>
      </c>
      <c r="I65" s="501">
        <f t="shared" si="0"/>
        <v>0</v>
      </c>
      <c r="J65" s="501"/>
      <c r="K65" s="513"/>
      <c r="L65" s="505">
        <f t="shared" si="15"/>
        <v>0</v>
      </c>
      <c r="M65" s="513"/>
      <c r="N65" s="505">
        <f t="shared" si="4"/>
        <v>0</v>
      </c>
      <c r="O65" s="505">
        <f t="shared" si="5"/>
        <v>0</v>
      </c>
      <c r="P65" s="279"/>
      <c r="R65" s="244"/>
      <c r="S65" s="244"/>
      <c r="T65" s="244"/>
      <c r="U65" s="244"/>
    </row>
    <row r="66" spans="2:21" ht="12.5">
      <c r="C66" s="496">
        <f>IF(D11="","-",+C65+1)</f>
        <v>2065</v>
      </c>
      <c r="D66" s="511">
        <f>IF(F65+SUM(E$17:E65)=D$10,F65,D$10-SUM(E$17:E65))</f>
        <v>0</v>
      </c>
      <c r="E66" s="510">
        <f>IF(+I14&lt;F65,I14,D66)</f>
        <v>0</v>
      </c>
      <c r="F66" s="511">
        <f t="shared" si="12"/>
        <v>0</v>
      </c>
      <c r="G66" s="512">
        <f t="shared" si="13"/>
        <v>0</v>
      </c>
      <c r="H66" s="478">
        <f t="shared" si="14"/>
        <v>0</v>
      </c>
      <c r="I66" s="501">
        <f t="shared" si="0"/>
        <v>0</v>
      </c>
      <c r="J66" s="501"/>
      <c r="K66" s="513"/>
      <c r="L66" s="505">
        <f t="shared" si="15"/>
        <v>0</v>
      </c>
      <c r="M66" s="513"/>
      <c r="N66" s="505">
        <f t="shared" si="4"/>
        <v>0</v>
      </c>
      <c r="O66" s="505">
        <f t="shared" si="5"/>
        <v>0</v>
      </c>
      <c r="P66" s="279"/>
      <c r="R66" s="244"/>
      <c r="S66" s="244"/>
      <c r="T66" s="244"/>
      <c r="U66" s="244"/>
    </row>
    <row r="67" spans="2:21" ht="12.5">
      <c r="C67" s="496">
        <f>IF(D11="","-",+C66+1)</f>
        <v>2066</v>
      </c>
      <c r="D67" s="511">
        <f>IF(F66+SUM(E$17:E66)=D$10,F66,D$10-SUM(E$17:E66))</f>
        <v>0</v>
      </c>
      <c r="E67" s="510">
        <f>IF(+I14&lt;F66,I14,D67)</f>
        <v>0</v>
      </c>
      <c r="F67" s="511">
        <f t="shared" si="12"/>
        <v>0</v>
      </c>
      <c r="G67" s="512">
        <f t="shared" si="13"/>
        <v>0</v>
      </c>
      <c r="H67" s="478">
        <f t="shared" si="14"/>
        <v>0</v>
      </c>
      <c r="I67" s="501">
        <f t="shared" si="0"/>
        <v>0</v>
      </c>
      <c r="J67" s="501"/>
      <c r="K67" s="513"/>
      <c r="L67" s="505">
        <f t="shared" si="15"/>
        <v>0</v>
      </c>
      <c r="M67" s="513"/>
      <c r="N67" s="505">
        <f t="shared" si="4"/>
        <v>0</v>
      </c>
      <c r="O67" s="505">
        <f t="shared" si="5"/>
        <v>0</v>
      </c>
      <c r="P67" s="279"/>
      <c r="R67" s="244"/>
      <c r="S67" s="244"/>
      <c r="T67" s="244"/>
      <c r="U67" s="244"/>
    </row>
    <row r="68" spans="2:21" ht="12.5">
      <c r="C68" s="496">
        <f>IF(D11="","-",+C67+1)</f>
        <v>2067</v>
      </c>
      <c r="D68" s="511">
        <f>IF(F67+SUM(E$17:E67)=D$10,F67,D$10-SUM(E$17:E67))</f>
        <v>0</v>
      </c>
      <c r="E68" s="510">
        <f>IF(+I14&lt;F67,I14,D68)</f>
        <v>0</v>
      </c>
      <c r="F68" s="511">
        <f t="shared" si="12"/>
        <v>0</v>
      </c>
      <c r="G68" s="512">
        <f t="shared" si="13"/>
        <v>0</v>
      </c>
      <c r="H68" s="478">
        <f t="shared" si="14"/>
        <v>0</v>
      </c>
      <c r="I68" s="501">
        <f t="shared" si="0"/>
        <v>0</v>
      </c>
      <c r="J68" s="501"/>
      <c r="K68" s="513"/>
      <c r="L68" s="505">
        <f t="shared" si="15"/>
        <v>0</v>
      </c>
      <c r="M68" s="513"/>
      <c r="N68" s="505">
        <f t="shared" si="4"/>
        <v>0</v>
      </c>
      <c r="O68" s="505">
        <f t="shared" si="5"/>
        <v>0</v>
      </c>
      <c r="P68" s="279"/>
      <c r="R68" s="244"/>
      <c r="S68" s="244"/>
      <c r="T68" s="244"/>
      <c r="U68" s="244"/>
    </row>
    <row r="69" spans="2:21" ht="12.5">
      <c r="C69" s="496">
        <f>IF(D11="","-",+C68+1)</f>
        <v>2068</v>
      </c>
      <c r="D69" s="511">
        <f>IF(F68+SUM(E$17:E68)=D$10,F68,D$10-SUM(E$17:E68))</f>
        <v>0</v>
      </c>
      <c r="E69" s="510">
        <f>IF(+I14&lt;F68,I14,D69)</f>
        <v>0</v>
      </c>
      <c r="F69" s="511">
        <f t="shared" si="12"/>
        <v>0</v>
      </c>
      <c r="G69" s="512">
        <f t="shared" si="13"/>
        <v>0</v>
      </c>
      <c r="H69" s="478">
        <f t="shared" si="14"/>
        <v>0</v>
      </c>
      <c r="I69" s="501">
        <f t="shared" si="0"/>
        <v>0</v>
      </c>
      <c r="J69" s="501"/>
      <c r="K69" s="513"/>
      <c r="L69" s="505">
        <f t="shared" si="15"/>
        <v>0</v>
      </c>
      <c r="M69" s="513"/>
      <c r="N69" s="505">
        <f t="shared" si="4"/>
        <v>0</v>
      </c>
      <c r="O69" s="505">
        <f t="shared" si="5"/>
        <v>0</v>
      </c>
      <c r="P69" s="279"/>
      <c r="R69" s="244"/>
      <c r="S69" s="244"/>
      <c r="T69" s="244"/>
      <c r="U69" s="244"/>
    </row>
    <row r="70" spans="2:21" ht="12.5">
      <c r="C70" s="496">
        <f>IF(D11="","-",+C69+1)</f>
        <v>2069</v>
      </c>
      <c r="D70" s="511">
        <f>IF(F69+SUM(E$17:E69)=D$10,F69,D$10-SUM(E$17:E69))</f>
        <v>0</v>
      </c>
      <c r="E70" s="510">
        <f>IF(+I14&lt;F69,I14,D70)</f>
        <v>0</v>
      </c>
      <c r="F70" s="511">
        <f t="shared" si="12"/>
        <v>0</v>
      </c>
      <c r="G70" s="512">
        <f t="shared" si="13"/>
        <v>0</v>
      </c>
      <c r="H70" s="478">
        <f t="shared" si="14"/>
        <v>0</v>
      </c>
      <c r="I70" s="501">
        <f t="shared" si="0"/>
        <v>0</v>
      </c>
      <c r="J70" s="501"/>
      <c r="K70" s="513"/>
      <c r="L70" s="505">
        <f t="shared" si="15"/>
        <v>0</v>
      </c>
      <c r="M70" s="513"/>
      <c r="N70" s="505">
        <f t="shared" si="4"/>
        <v>0</v>
      </c>
      <c r="O70" s="505">
        <f t="shared" si="5"/>
        <v>0</v>
      </c>
      <c r="P70" s="279"/>
      <c r="R70" s="244"/>
      <c r="S70" s="244"/>
      <c r="T70" s="244"/>
      <c r="U70" s="244"/>
    </row>
    <row r="71" spans="2:21" ht="12.5">
      <c r="C71" s="496">
        <f>IF(D11="","-",+C70+1)</f>
        <v>2070</v>
      </c>
      <c r="D71" s="511">
        <f>IF(F70+SUM(E$17:E70)=D$10,F70,D$10-SUM(E$17:E70))</f>
        <v>0</v>
      </c>
      <c r="E71" s="510">
        <f>IF(+I14&lt;F70,I14,D71)</f>
        <v>0</v>
      </c>
      <c r="F71" s="511">
        <f t="shared" si="12"/>
        <v>0</v>
      </c>
      <c r="G71" s="512">
        <f t="shared" si="13"/>
        <v>0</v>
      </c>
      <c r="H71" s="478">
        <f t="shared" si="14"/>
        <v>0</v>
      </c>
      <c r="I71" s="501">
        <f t="shared" si="0"/>
        <v>0</v>
      </c>
      <c r="J71" s="501"/>
      <c r="K71" s="513"/>
      <c r="L71" s="505">
        <f t="shared" si="15"/>
        <v>0</v>
      </c>
      <c r="M71" s="513"/>
      <c r="N71" s="505">
        <f t="shared" si="4"/>
        <v>0</v>
      </c>
      <c r="O71" s="505">
        <f t="shared" si="5"/>
        <v>0</v>
      </c>
      <c r="P71" s="279"/>
      <c r="R71" s="244"/>
      <c r="S71" s="244"/>
      <c r="T71" s="244"/>
      <c r="U71" s="244"/>
    </row>
    <row r="72" spans="2:21" ht="12.5">
      <c r="C72" s="496">
        <f>IF(D11="","-",+C71+1)</f>
        <v>2071</v>
      </c>
      <c r="D72" s="511">
        <f>IF(F71+SUM(E$17:E71)=D$10,F71,D$10-SUM(E$17:E71))</f>
        <v>0</v>
      </c>
      <c r="E72" s="510">
        <f>IF(+I14&lt;F71,I14,D72)</f>
        <v>0</v>
      </c>
      <c r="F72" s="511">
        <f t="shared" si="12"/>
        <v>0</v>
      </c>
      <c r="G72" s="512">
        <f t="shared" si="13"/>
        <v>0</v>
      </c>
      <c r="H72" s="478">
        <f t="shared" si="14"/>
        <v>0</v>
      </c>
      <c r="I72" s="501">
        <f t="shared" si="0"/>
        <v>0</v>
      </c>
      <c r="J72" s="501"/>
      <c r="K72" s="513"/>
      <c r="L72" s="505">
        <f t="shared" si="15"/>
        <v>0</v>
      </c>
      <c r="M72" s="513"/>
      <c r="N72" s="505">
        <f t="shared" si="4"/>
        <v>0</v>
      </c>
      <c r="O72" s="505">
        <f t="shared" si="5"/>
        <v>0</v>
      </c>
      <c r="P72" s="279"/>
      <c r="R72" s="244"/>
      <c r="S72" s="244"/>
      <c r="T72" s="244"/>
      <c r="U72" s="244"/>
    </row>
    <row r="73" spans="2:21" ht="13" thickBot="1">
      <c r="C73" s="525">
        <f>IF(D11="","-",+C72+1)</f>
        <v>2072</v>
      </c>
      <c r="D73" s="528">
        <f>IF(F72+SUM(E$17:E72)=D$10,F72,D$10-SUM(E$17:E72))</f>
        <v>0</v>
      </c>
      <c r="E73" s="527">
        <f>IF(+I14&lt;F72,I14,D73)</f>
        <v>0</v>
      </c>
      <c r="F73" s="528">
        <f t="shared" si="12"/>
        <v>0</v>
      </c>
      <c r="G73" s="528">
        <f t="shared" si="13"/>
        <v>0</v>
      </c>
      <c r="H73" s="528">
        <f t="shared" si="14"/>
        <v>0</v>
      </c>
      <c r="I73" s="530">
        <f t="shared" si="0"/>
        <v>0</v>
      </c>
      <c r="J73" s="501"/>
      <c r="K73" s="531"/>
      <c r="L73" s="532">
        <f t="shared" si="15"/>
        <v>0</v>
      </c>
      <c r="M73" s="531"/>
      <c r="N73" s="532">
        <f t="shared" si="4"/>
        <v>0</v>
      </c>
      <c r="O73" s="532">
        <f t="shared" si="5"/>
        <v>0</v>
      </c>
      <c r="P73" s="279"/>
      <c r="R73" s="244"/>
      <c r="S73" s="244"/>
      <c r="T73" s="244"/>
      <c r="U73" s="244"/>
    </row>
    <row r="74" spans="2:21" ht="12.5">
      <c r="C74" s="350" t="s">
        <v>75</v>
      </c>
      <c r="D74" s="295"/>
      <c r="E74" s="295">
        <f>SUM(E17:E73)</f>
        <v>68247468.750000015</v>
      </c>
      <c r="F74" s="295"/>
      <c r="G74" s="295">
        <f>SUM(G17:G73)</f>
        <v>198385849.96874866</v>
      </c>
      <c r="H74" s="295">
        <f>SUM(H17:H73)</f>
        <v>198385849.96874866</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439" t="str">
        <f ca="1">P1</f>
        <v>OKT Project 14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8501195.2492568977</v>
      </c>
      <c r="N88" s="545">
        <f>IF(J93&lt;D11,0,VLOOKUP(J93,C17:O73,11))</f>
        <v>8501195.2492568977</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9166297.2923795395</v>
      </c>
      <c r="N89" s="549">
        <f>IF(J93&lt;D11,0,VLOOKUP(J93,C100:P155,7))</f>
        <v>9166297.2923795395</v>
      </c>
      <c r="O89" s="550">
        <f>+N89-M89</f>
        <v>0</v>
      </c>
      <c r="P89" s="244"/>
      <c r="Q89" s="244"/>
      <c r="R89" s="244"/>
      <c r="S89" s="244"/>
      <c r="T89" s="244"/>
      <c r="U89" s="244"/>
    </row>
    <row r="90" spans="1:21" ht="13.5" thickBot="1">
      <c r="C90" s="455" t="s">
        <v>82</v>
      </c>
      <c r="D90" s="551" t="str">
        <f>+D7</f>
        <v>Valliant-NW Texarkana 345 kV</v>
      </c>
      <c r="E90" s="244"/>
      <c r="F90" s="244"/>
      <c r="G90" s="244"/>
      <c r="H90" s="244"/>
      <c r="I90" s="326"/>
      <c r="J90" s="326"/>
      <c r="K90" s="552"/>
      <c r="L90" s="553" t="s">
        <v>135</v>
      </c>
      <c r="M90" s="554">
        <f>+M89-M88</f>
        <v>665102.04312264174</v>
      </c>
      <c r="N90" s="554">
        <f>+N89-N88</f>
        <v>665102.04312264174</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 2009089</v>
      </c>
      <c r="E92" s="559"/>
      <c r="F92" s="559"/>
      <c r="G92" s="559"/>
      <c r="H92" s="559"/>
      <c r="I92" s="559"/>
      <c r="J92" s="559"/>
      <c r="K92" s="561"/>
      <c r="P92" s="469"/>
      <c r="Q92" s="244"/>
      <c r="R92" s="244"/>
      <c r="S92" s="244"/>
      <c r="T92" s="244"/>
      <c r="U92" s="244"/>
    </row>
    <row r="93" spans="1:21" ht="13">
      <c r="C93" s="473" t="s">
        <v>49</v>
      </c>
      <c r="D93" s="471">
        <f>D10</f>
        <v>68247468.75</v>
      </c>
      <c r="E93" s="249" t="s">
        <v>84</v>
      </c>
      <c r="H93" s="409"/>
      <c r="I93" s="409"/>
      <c r="J93" s="472">
        <f>+'OKT.WS.G.BPU.ATRR.True-up'!M16</f>
        <v>2023</v>
      </c>
      <c r="K93" s="468"/>
      <c r="L93" s="295" t="s">
        <v>85</v>
      </c>
      <c r="P93" s="279"/>
      <c r="Q93" s="244"/>
      <c r="R93" s="244"/>
      <c r="S93" s="244"/>
      <c r="T93" s="244"/>
      <c r="U93" s="244"/>
    </row>
    <row r="94" spans="1:21" ht="12.5">
      <c r="C94" s="473" t="s">
        <v>52</v>
      </c>
      <c r="D94" s="562">
        <f>IF(D11=I10,"",D11)</f>
        <v>2016</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12</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3591972.039473684</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C100" s="496">
        <f>IF(D94= "","-",D94)</f>
        <v>2016</v>
      </c>
      <c r="D100" s="497">
        <v>0</v>
      </c>
      <c r="E100" s="499">
        <v>1692714.9</v>
      </c>
      <c r="F100" s="506">
        <v>67708596</v>
      </c>
      <c r="G100" s="506">
        <v>33854298</v>
      </c>
      <c r="H100" s="499">
        <v>3668771.9731289423</v>
      </c>
      <c r="I100" s="500">
        <v>3668771.9731289423</v>
      </c>
      <c r="J100" s="505">
        <f t="shared" ref="J100:J131" si="16">+I100-H100</f>
        <v>0</v>
      </c>
      <c r="K100" s="505"/>
      <c r="L100" s="505">
        <f>+H100</f>
        <v>3668771.9731289423</v>
      </c>
      <c r="M100" s="504">
        <f t="shared" ref="M100:M131" si="17">IF(L100&lt;&gt;0,+H100-L100,0)</f>
        <v>0</v>
      </c>
      <c r="N100" s="505">
        <f>+I100</f>
        <v>3668771.9731289423</v>
      </c>
      <c r="O100" s="504">
        <f t="shared" ref="O100:O131" si="18">IF(N100&lt;&gt;0,+I100-N100,0)</f>
        <v>0</v>
      </c>
      <c r="P100" s="504">
        <f t="shared" ref="P100:P131" si="19">+O100-M100</f>
        <v>0</v>
      </c>
      <c r="Q100" s="244"/>
      <c r="R100" s="244"/>
      <c r="S100" s="244"/>
      <c r="T100" s="244"/>
      <c r="U100" s="244"/>
    </row>
    <row r="101" spans="1:21" ht="12.5">
      <c r="C101" s="496">
        <f>IF(D94="","-",+C100+1)</f>
        <v>2017</v>
      </c>
      <c r="D101" s="497">
        <v>66537373.100000001</v>
      </c>
      <c r="E101" s="499">
        <v>1705752.2</v>
      </c>
      <c r="F101" s="506">
        <v>64831620.899999999</v>
      </c>
      <c r="G101" s="506">
        <v>65684497</v>
      </c>
      <c r="H101" s="499">
        <v>9412899.4207950477</v>
      </c>
      <c r="I101" s="500">
        <v>9412899.4207950477</v>
      </c>
      <c r="J101" s="505">
        <f t="shared" si="16"/>
        <v>0</v>
      </c>
      <c r="K101" s="505"/>
      <c r="L101" s="505">
        <f t="shared" ref="L101:L106" si="20">H101</f>
        <v>9412899.4207950477</v>
      </c>
      <c r="M101" s="505">
        <f t="shared" ref="M101:M106" si="21">IF(L101&lt;&gt;0,+H101-L101,0)</f>
        <v>0</v>
      </c>
      <c r="N101" s="505">
        <f t="shared" ref="N101:N106" si="22">I101</f>
        <v>9412899.4207950477</v>
      </c>
      <c r="O101" s="505">
        <f>IF(N101&lt;&gt;0,+I101-N101,0)</f>
        <v>0</v>
      </c>
      <c r="P101" s="505">
        <f>+O101-M101</f>
        <v>0</v>
      </c>
      <c r="Q101" s="244"/>
      <c r="R101" s="244"/>
      <c r="S101" s="244"/>
      <c r="T101" s="244"/>
      <c r="U101" s="244"/>
    </row>
    <row r="102" spans="1:21" ht="12.5">
      <c r="C102" s="496">
        <f>IF(D94="","-",+C101+1)</f>
        <v>2018</v>
      </c>
      <c r="D102" s="497">
        <v>64831620.899999999</v>
      </c>
      <c r="E102" s="499">
        <v>1895280.2222222222</v>
      </c>
      <c r="F102" s="506">
        <v>62936340.677777775</v>
      </c>
      <c r="G102" s="506">
        <v>63883980.788888887</v>
      </c>
      <c r="H102" s="499">
        <v>8639029.6924960874</v>
      </c>
      <c r="I102" s="500">
        <v>8639029.6924960874</v>
      </c>
      <c r="J102" s="505">
        <f t="shared" si="16"/>
        <v>0</v>
      </c>
      <c r="K102" s="505"/>
      <c r="L102" s="505">
        <f t="shared" si="20"/>
        <v>8639029.6924960874</v>
      </c>
      <c r="M102" s="505">
        <f t="shared" si="21"/>
        <v>0</v>
      </c>
      <c r="N102" s="505">
        <f t="shared" si="22"/>
        <v>8639029.6924960874</v>
      </c>
      <c r="O102" s="505">
        <f>IF(N102&lt;&gt;0,+I102-N102,0)</f>
        <v>0</v>
      </c>
      <c r="P102" s="505">
        <f>+O102-M102</f>
        <v>0</v>
      </c>
      <c r="Q102" s="244"/>
      <c r="R102" s="244"/>
      <c r="S102" s="244"/>
      <c r="T102" s="244"/>
      <c r="U102" s="244"/>
    </row>
    <row r="103" spans="1:21" ht="12.5">
      <c r="C103" s="496">
        <f>IF(D94="","-",+C102+1)</f>
        <v>2019</v>
      </c>
      <c r="D103" s="497">
        <v>64646436.577777781</v>
      </c>
      <c r="E103" s="499">
        <v>1895763.0277777778</v>
      </c>
      <c r="F103" s="506">
        <v>62750673.550000004</v>
      </c>
      <c r="G103" s="506">
        <v>63698555.063888893</v>
      </c>
      <c r="H103" s="499">
        <v>8619938.5043946709</v>
      </c>
      <c r="I103" s="500">
        <v>8619938.5043946709</v>
      </c>
      <c r="J103" s="505">
        <f t="shared" si="16"/>
        <v>0</v>
      </c>
      <c r="K103" s="505"/>
      <c r="L103" s="505">
        <f t="shared" si="20"/>
        <v>8619938.5043946709</v>
      </c>
      <c r="M103" s="505">
        <f t="shared" si="21"/>
        <v>0</v>
      </c>
      <c r="N103" s="505">
        <f t="shared" si="22"/>
        <v>8619938.5043946709</v>
      </c>
      <c r="O103" s="505">
        <f>IF(N103&lt;&gt;0,+I103-N103,0)</f>
        <v>0</v>
      </c>
      <c r="P103" s="505">
        <f>+O103-M103</f>
        <v>0</v>
      </c>
      <c r="Q103" s="244"/>
      <c r="R103" s="244"/>
      <c r="S103" s="244"/>
      <c r="T103" s="244"/>
      <c r="U103" s="244"/>
    </row>
    <row r="104" spans="1:21" ht="12.5">
      <c r="C104" s="496">
        <f>IF(D94="","-",+C103+1)</f>
        <v>2020</v>
      </c>
      <c r="D104" s="497">
        <v>61057958.649999999</v>
      </c>
      <c r="E104" s="499">
        <v>2437409.6071428573</v>
      </c>
      <c r="F104" s="506">
        <v>58620549.04285714</v>
      </c>
      <c r="G104" s="506">
        <v>59839253.846428573</v>
      </c>
      <c r="H104" s="499">
        <v>8805113.9847133383</v>
      </c>
      <c r="I104" s="500">
        <v>8805113.9847133383</v>
      </c>
      <c r="J104" s="505">
        <f t="shared" si="16"/>
        <v>0</v>
      </c>
      <c r="K104" s="505"/>
      <c r="L104" s="505">
        <f t="shared" si="20"/>
        <v>8805113.9847133383</v>
      </c>
      <c r="M104" s="505">
        <f t="shared" si="21"/>
        <v>0</v>
      </c>
      <c r="N104" s="505">
        <f t="shared" si="22"/>
        <v>8805113.9847133383</v>
      </c>
      <c r="O104" s="505">
        <f t="shared" si="18"/>
        <v>0</v>
      </c>
      <c r="P104" s="505">
        <f t="shared" si="19"/>
        <v>0</v>
      </c>
      <c r="Q104" s="244"/>
      <c r="R104" s="244"/>
      <c r="S104" s="244"/>
      <c r="T104" s="244"/>
      <c r="U104" s="244"/>
    </row>
    <row r="105" spans="1:21" ht="12.5">
      <c r="C105" s="496">
        <f>IF(D94="","-",+C104+1)</f>
        <v>2021</v>
      </c>
      <c r="D105" s="497">
        <v>58620549.04285714</v>
      </c>
      <c r="E105" s="499">
        <v>2729898.76</v>
      </c>
      <c r="F105" s="506">
        <v>55890650.282857142</v>
      </c>
      <c r="G105" s="506">
        <v>57255599.662857145</v>
      </c>
      <c r="H105" s="499">
        <v>9483884.5595619641</v>
      </c>
      <c r="I105" s="500">
        <v>9483884.5595619641</v>
      </c>
      <c r="J105" s="505">
        <f t="shared" si="16"/>
        <v>0</v>
      </c>
      <c r="K105" s="505"/>
      <c r="L105" s="505">
        <f t="shared" si="20"/>
        <v>9483884.5595619641</v>
      </c>
      <c r="M105" s="505">
        <f t="shared" si="21"/>
        <v>0</v>
      </c>
      <c r="N105" s="505">
        <f t="shared" si="22"/>
        <v>9483884.5595619641</v>
      </c>
      <c r="O105" s="505">
        <f t="shared" si="18"/>
        <v>0</v>
      </c>
      <c r="P105" s="505">
        <f t="shared" si="19"/>
        <v>0</v>
      </c>
      <c r="Q105" s="244"/>
      <c r="R105" s="244"/>
      <c r="S105" s="244"/>
      <c r="T105" s="244"/>
      <c r="U105" s="244"/>
    </row>
    <row r="106" spans="1:21" ht="12.5">
      <c r="C106" s="496">
        <f>IF(D94="","-",+C105+1)</f>
        <v>2022</v>
      </c>
      <c r="D106" s="497">
        <v>55890650.282857142</v>
      </c>
      <c r="E106" s="499">
        <v>3249879.4761904762</v>
      </c>
      <c r="F106" s="506">
        <v>52640770.806666665</v>
      </c>
      <c r="G106" s="506">
        <v>54265710.544761904</v>
      </c>
      <c r="H106" s="499">
        <v>9488592.0227581467</v>
      </c>
      <c r="I106" s="500">
        <v>9488592.0227581467</v>
      </c>
      <c r="J106" s="505">
        <f t="shared" si="16"/>
        <v>0</v>
      </c>
      <c r="K106" s="505"/>
      <c r="L106" s="505">
        <f t="shared" si="20"/>
        <v>9488592.0227581467</v>
      </c>
      <c r="M106" s="505">
        <f t="shared" si="21"/>
        <v>0</v>
      </c>
      <c r="N106" s="505">
        <f t="shared" si="22"/>
        <v>9488592.0227581467</v>
      </c>
      <c r="O106" s="505">
        <f t="shared" ref="O106" si="23">IF(N106&lt;&gt;0,+I106-N106,0)</f>
        <v>0</v>
      </c>
      <c r="P106" s="505">
        <f t="shared" ref="P106" si="24">+O106-M106</f>
        <v>0</v>
      </c>
      <c r="Q106" s="244"/>
      <c r="R106" s="244"/>
      <c r="S106" s="244"/>
      <c r="T106" s="244"/>
      <c r="U106" s="244"/>
    </row>
    <row r="107" spans="1:21" ht="12.5">
      <c r="C107" s="496">
        <f>IF(D94="","-",+C106+1)</f>
        <v>2023</v>
      </c>
      <c r="D107" s="350">
        <f>IF(F106+SUM(E$100:E106)=D$93,F106,D$93-SUM(E$100:E106))</f>
        <v>52640770.556666672</v>
      </c>
      <c r="E107" s="510">
        <f>IF(+J97&lt;F106,J97,D107)</f>
        <v>3591972.039473684</v>
      </c>
      <c r="F107" s="511">
        <f t="shared" ref="F107:F131" si="25">+D107-E107</f>
        <v>49048798.51719299</v>
      </c>
      <c r="G107" s="511">
        <f t="shared" ref="G107:G131" si="26">+(F107+D107)/2</f>
        <v>50844784.536929831</v>
      </c>
      <c r="H107" s="645">
        <f t="shared" ref="H107:H155" si="27">(D107+F107)/2*J$95+E107</f>
        <v>9166297.2923795395</v>
      </c>
      <c r="I107" s="628">
        <f t="shared" ref="I107:I155" si="28">+J$96*G107+E107</f>
        <v>9166297.2923795395</v>
      </c>
      <c r="J107" s="505">
        <f t="shared" si="16"/>
        <v>0</v>
      </c>
      <c r="K107" s="505"/>
      <c r="L107" s="513"/>
      <c r="M107" s="505">
        <f t="shared" si="17"/>
        <v>0</v>
      </c>
      <c r="N107" s="513"/>
      <c r="O107" s="505">
        <f t="shared" si="18"/>
        <v>0</v>
      </c>
      <c r="P107" s="505">
        <f t="shared" si="19"/>
        <v>0</v>
      </c>
      <c r="Q107" s="244"/>
      <c r="R107" s="244"/>
      <c r="S107" s="244"/>
      <c r="T107" s="244"/>
      <c r="U107" s="244"/>
    </row>
    <row r="108" spans="1:21" ht="12.5">
      <c r="C108" s="496">
        <f>IF(D94="","-",+C107+1)</f>
        <v>2024</v>
      </c>
      <c r="D108" s="350">
        <f>IF(F107+SUM(E$100:E107)=D$93,F107,D$93-SUM(E$100:E107))</f>
        <v>49048798.51719299</v>
      </c>
      <c r="E108" s="510">
        <f>IF(+J97&lt;F107,J97,D108)</f>
        <v>3591972.039473684</v>
      </c>
      <c r="F108" s="511">
        <f t="shared" si="25"/>
        <v>45456826.477719307</v>
      </c>
      <c r="G108" s="511">
        <f t="shared" si="26"/>
        <v>47252812.497456148</v>
      </c>
      <c r="H108" s="645">
        <f t="shared" si="27"/>
        <v>8772494.4543947149</v>
      </c>
      <c r="I108" s="628">
        <f t="shared" si="28"/>
        <v>8772494.4543947149</v>
      </c>
      <c r="J108" s="505">
        <f t="shared" si="16"/>
        <v>0</v>
      </c>
      <c r="K108" s="505"/>
      <c r="L108" s="513"/>
      <c r="M108" s="505">
        <f t="shared" si="17"/>
        <v>0</v>
      </c>
      <c r="N108" s="513"/>
      <c r="O108" s="505">
        <f t="shared" si="18"/>
        <v>0</v>
      </c>
      <c r="P108" s="505">
        <f t="shared" si="19"/>
        <v>0</v>
      </c>
      <c r="Q108" s="244"/>
      <c r="R108" s="244"/>
      <c r="S108" s="244"/>
      <c r="T108" s="244"/>
      <c r="U108" s="244"/>
    </row>
    <row r="109" spans="1:21" ht="12.5">
      <c r="C109" s="496">
        <f>IF(D94="","-",+C108+1)</f>
        <v>2025</v>
      </c>
      <c r="D109" s="350">
        <f>IF(F108+SUM(E$100:E108)=D$93,F108,D$93-SUM(E$100:E108))</f>
        <v>45456826.477719307</v>
      </c>
      <c r="E109" s="510">
        <f>IF(+J97&lt;F108,J97,D109)</f>
        <v>3591972.039473684</v>
      </c>
      <c r="F109" s="511">
        <f t="shared" si="25"/>
        <v>41864854.438245624</v>
      </c>
      <c r="G109" s="511">
        <f t="shared" si="26"/>
        <v>43660840.457982466</v>
      </c>
      <c r="H109" s="645">
        <f t="shared" si="27"/>
        <v>8378691.6164098904</v>
      </c>
      <c r="I109" s="628">
        <f t="shared" si="28"/>
        <v>8378691.6164098904</v>
      </c>
      <c r="J109" s="505">
        <f t="shared" si="16"/>
        <v>0</v>
      </c>
      <c r="K109" s="505"/>
      <c r="L109" s="513"/>
      <c r="M109" s="505">
        <f t="shared" si="17"/>
        <v>0</v>
      </c>
      <c r="N109" s="513"/>
      <c r="O109" s="505">
        <f t="shared" si="18"/>
        <v>0</v>
      </c>
      <c r="P109" s="505">
        <f t="shared" si="19"/>
        <v>0</v>
      </c>
      <c r="Q109" s="244"/>
      <c r="R109" s="244"/>
      <c r="S109" s="244"/>
      <c r="T109" s="244"/>
      <c r="U109" s="244"/>
    </row>
    <row r="110" spans="1:21" ht="12.5">
      <c r="C110" s="496">
        <f>IF(D94="","-",+C109+1)</f>
        <v>2026</v>
      </c>
      <c r="D110" s="350">
        <f>IF(F109+SUM(E$100:E109)=D$93,F109,D$93-SUM(E$100:E109))</f>
        <v>41864854.438245624</v>
      </c>
      <c r="E110" s="510">
        <f>IF(+J97&lt;F109,J97,D110)</f>
        <v>3591972.039473684</v>
      </c>
      <c r="F110" s="511">
        <f t="shared" si="25"/>
        <v>38272882.398771942</v>
      </c>
      <c r="G110" s="511">
        <f t="shared" si="26"/>
        <v>40068868.418508783</v>
      </c>
      <c r="H110" s="645">
        <f t="shared" si="27"/>
        <v>7984888.7784250658</v>
      </c>
      <c r="I110" s="628">
        <f t="shared" si="28"/>
        <v>7984888.7784250658</v>
      </c>
      <c r="J110" s="505">
        <f t="shared" si="16"/>
        <v>0</v>
      </c>
      <c r="K110" s="505"/>
      <c r="L110" s="513"/>
      <c r="M110" s="505">
        <f t="shared" si="17"/>
        <v>0</v>
      </c>
      <c r="N110" s="513"/>
      <c r="O110" s="505">
        <f t="shared" si="18"/>
        <v>0</v>
      </c>
      <c r="P110" s="505">
        <f t="shared" si="19"/>
        <v>0</v>
      </c>
      <c r="Q110" s="244"/>
      <c r="R110" s="244"/>
      <c r="S110" s="244"/>
      <c r="T110" s="244"/>
      <c r="U110" s="244"/>
    </row>
    <row r="111" spans="1:21" ht="12.5">
      <c r="C111" s="496">
        <f>IF(D94="","-",+C110+1)</f>
        <v>2027</v>
      </c>
      <c r="D111" s="350">
        <f>IF(F110+SUM(E$100:E110)=D$93,F110,D$93-SUM(E$100:E110))</f>
        <v>38272882.398771942</v>
      </c>
      <c r="E111" s="510">
        <f>IF(+J97&lt;F110,J97,D111)</f>
        <v>3591972.039473684</v>
      </c>
      <c r="F111" s="511">
        <f t="shared" si="25"/>
        <v>34680910.359298259</v>
      </c>
      <c r="G111" s="511">
        <f t="shared" si="26"/>
        <v>36476896.3790351</v>
      </c>
      <c r="H111" s="645">
        <f t="shared" si="27"/>
        <v>7591085.9404402412</v>
      </c>
      <c r="I111" s="628">
        <f t="shared" si="28"/>
        <v>7591085.9404402412</v>
      </c>
      <c r="J111" s="505">
        <f t="shared" si="16"/>
        <v>0</v>
      </c>
      <c r="K111" s="505"/>
      <c r="L111" s="513"/>
      <c r="M111" s="505">
        <f t="shared" si="17"/>
        <v>0</v>
      </c>
      <c r="N111" s="513"/>
      <c r="O111" s="505">
        <f t="shared" si="18"/>
        <v>0</v>
      </c>
      <c r="P111" s="505">
        <f t="shared" si="19"/>
        <v>0</v>
      </c>
      <c r="Q111" s="244"/>
      <c r="R111" s="244"/>
      <c r="S111" s="244"/>
      <c r="T111" s="244"/>
      <c r="U111" s="244"/>
    </row>
    <row r="112" spans="1:21" ht="12.5">
      <c r="C112" s="496">
        <f>IF(D94="","-",+C111+1)</f>
        <v>2028</v>
      </c>
      <c r="D112" s="350">
        <f>IF(F111+SUM(E$100:E111)=D$93,F111,D$93-SUM(E$100:E111))</f>
        <v>34680910.359298259</v>
      </c>
      <c r="E112" s="510">
        <f>IF(+J97&lt;F111,J97,D112)</f>
        <v>3591972.039473684</v>
      </c>
      <c r="F112" s="511">
        <f t="shared" si="25"/>
        <v>31088938.319824576</v>
      </c>
      <c r="G112" s="511">
        <f t="shared" si="26"/>
        <v>32884924.339561418</v>
      </c>
      <c r="H112" s="645">
        <f t="shared" si="27"/>
        <v>7197283.1024554167</v>
      </c>
      <c r="I112" s="628">
        <f t="shared" si="28"/>
        <v>7197283.1024554167</v>
      </c>
      <c r="J112" s="505">
        <f t="shared" si="16"/>
        <v>0</v>
      </c>
      <c r="K112" s="505"/>
      <c r="L112" s="513"/>
      <c r="M112" s="505">
        <f t="shared" si="17"/>
        <v>0</v>
      </c>
      <c r="N112" s="513"/>
      <c r="O112" s="505">
        <f t="shared" si="18"/>
        <v>0</v>
      </c>
      <c r="P112" s="505">
        <f t="shared" si="19"/>
        <v>0</v>
      </c>
      <c r="Q112" s="244"/>
      <c r="R112" s="244"/>
      <c r="S112" s="244"/>
      <c r="T112" s="244"/>
      <c r="U112" s="244"/>
    </row>
    <row r="113" spans="3:21" ht="12.5">
      <c r="C113" s="496">
        <f>IF(D94="","-",+C112+1)</f>
        <v>2029</v>
      </c>
      <c r="D113" s="350">
        <f>IF(F112+SUM(E$100:E112)=D$93,F112,D$93-SUM(E$100:E112))</f>
        <v>31088938.319824576</v>
      </c>
      <c r="E113" s="510">
        <f>IF(+J97&lt;F112,J97,D113)</f>
        <v>3591972.039473684</v>
      </c>
      <c r="F113" s="511">
        <f t="shared" si="25"/>
        <v>27496966.280350894</v>
      </c>
      <c r="G113" s="511">
        <f t="shared" si="26"/>
        <v>29292952.300087735</v>
      </c>
      <c r="H113" s="645">
        <f t="shared" si="27"/>
        <v>6803480.2644705921</v>
      </c>
      <c r="I113" s="628">
        <f t="shared" si="28"/>
        <v>6803480.2644705921</v>
      </c>
      <c r="J113" s="505">
        <f t="shared" si="16"/>
        <v>0</v>
      </c>
      <c r="K113" s="505"/>
      <c r="L113" s="513"/>
      <c r="M113" s="505">
        <f t="shared" si="17"/>
        <v>0</v>
      </c>
      <c r="N113" s="513"/>
      <c r="O113" s="505">
        <f t="shared" si="18"/>
        <v>0</v>
      </c>
      <c r="P113" s="505">
        <f t="shared" si="19"/>
        <v>0</v>
      </c>
      <c r="Q113" s="244"/>
      <c r="R113" s="244"/>
      <c r="S113" s="244"/>
      <c r="T113" s="244"/>
      <c r="U113" s="244"/>
    </row>
    <row r="114" spans="3:21" ht="12.5">
      <c r="C114" s="496">
        <f>IF(D94="","-",+C113+1)</f>
        <v>2030</v>
      </c>
      <c r="D114" s="350">
        <f>IF(F113+SUM(E$100:E113)=D$93,F113,D$93-SUM(E$100:E113))</f>
        <v>27496966.280350894</v>
      </c>
      <c r="E114" s="510">
        <f>IF(+J97&lt;F113,J97,D114)</f>
        <v>3591972.039473684</v>
      </c>
      <c r="F114" s="511">
        <f t="shared" si="25"/>
        <v>23904994.240877211</v>
      </c>
      <c r="G114" s="511">
        <f t="shared" si="26"/>
        <v>25700980.260614052</v>
      </c>
      <c r="H114" s="645">
        <f t="shared" si="27"/>
        <v>6409677.4264857676</v>
      </c>
      <c r="I114" s="628">
        <f t="shared" si="28"/>
        <v>6409677.4264857676</v>
      </c>
      <c r="J114" s="505">
        <f t="shared" si="16"/>
        <v>0</v>
      </c>
      <c r="K114" s="505"/>
      <c r="L114" s="513"/>
      <c r="M114" s="505">
        <f t="shared" si="17"/>
        <v>0</v>
      </c>
      <c r="N114" s="513"/>
      <c r="O114" s="505">
        <f t="shared" si="18"/>
        <v>0</v>
      </c>
      <c r="P114" s="505">
        <f t="shared" si="19"/>
        <v>0</v>
      </c>
      <c r="Q114" s="244"/>
      <c r="R114" s="244"/>
      <c r="S114" s="244"/>
      <c r="T114" s="244"/>
      <c r="U114" s="244"/>
    </row>
    <row r="115" spans="3:21" ht="12.5">
      <c r="C115" s="496">
        <f>IF(D94="","-",+C114+1)</f>
        <v>2031</v>
      </c>
      <c r="D115" s="350">
        <f>IF(F114+SUM(E$100:E114)=D$93,F114,D$93-SUM(E$100:E114))</f>
        <v>23904994.240877211</v>
      </c>
      <c r="E115" s="510">
        <f>IF(+J97&lt;F114,J97,D115)</f>
        <v>3591972.039473684</v>
      </c>
      <c r="F115" s="511">
        <f t="shared" si="25"/>
        <v>20313022.201403528</v>
      </c>
      <c r="G115" s="511">
        <f t="shared" si="26"/>
        <v>22109008.22114037</v>
      </c>
      <c r="H115" s="645">
        <f t="shared" si="27"/>
        <v>6015874.5885009421</v>
      </c>
      <c r="I115" s="628">
        <f t="shared" si="28"/>
        <v>6015874.5885009421</v>
      </c>
      <c r="J115" s="505">
        <f t="shared" si="16"/>
        <v>0</v>
      </c>
      <c r="K115" s="505"/>
      <c r="L115" s="513"/>
      <c r="M115" s="505">
        <f t="shared" si="17"/>
        <v>0</v>
      </c>
      <c r="N115" s="513"/>
      <c r="O115" s="505">
        <f t="shared" si="18"/>
        <v>0</v>
      </c>
      <c r="P115" s="505">
        <f t="shared" si="19"/>
        <v>0</v>
      </c>
      <c r="Q115" s="244"/>
      <c r="R115" s="244"/>
      <c r="S115" s="244"/>
      <c r="T115" s="244"/>
      <c r="U115" s="244"/>
    </row>
    <row r="116" spans="3:21" ht="12.5">
      <c r="C116" s="496">
        <f>IF(D94="","-",+C115+1)</f>
        <v>2032</v>
      </c>
      <c r="D116" s="350">
        <f>IF(F115+SUM(E$100:E115)=D$93,F115,D$93-SUM(E$100:E115))</f>
        <v>20313022.201403528</v>
      </c>
      <c r="E116" s="510">
        <f>IF(+J97&lt;F115,J97,D116)</f>
        <v>3591972.039473684</v>
      </c>
      <c r="F116" s="511">
        <f t="shared" si="25"/>
        <v>16721050.161929844</v>
      </c>
      <c r="G116" s="511">
        <f t="shared" si="26"/>
        <v>18517036.181666687</v>
      </c>
      <c r="H116" s="645">
        <f t="shared" si="27"/>
        <v>5622071.7505161176</v>
      </c>
      <c r="I116" s="628">
        <f t="shared" si="28"/>
        <v>5622071.7505161176</v>
      </c>
      <c r="J116" s="505">
        <f t="shared" si="16"/>
        <v>0</v>
      </c>
      <c r="K116" s="505"/>
      <c r="L116" s="513"/>
      <c r="M116" s="505">
        <f t="shared" si="17"/>
        <v>0</v>
      </c>
      <c r="N116" s="513"/>
      <c r="O116" s="505">
        <f t="shared" si="18"/>
        <v>0</v>
      </c>
      <c r="P116" s="505">
        <f t="shared" si="19"/>
        <v>0</v>
      </c>
      <c r="Q116" s="244"/>
      <c r="R116" s="244"/>
      <c r="S116" s="244"/>
      <c r="T116" s="244"/>
      <c r="U116" s="244"/>
    </row>
    <row r="117" spans="3:21" ht="12.5">
      <c r="C117" s="496">
        <f>IF(D94="","-",+C116+1)</f>
        <v>2033</v>
      </c>
      <c r="D117" s="350">
        <f>IF(F116+SUM(E$100:E116)=D$93,F116,D$93-SUM(E$100:E116))</f>
        <v>16721050.161929844</v>
      </c>
      <c r="E117" s="510">
        <f>IF(+J97&lt;F116,J97,D117)</f>
        <v>3591972.039473684</v>
      </c>
      <c r="F117" s="511">
        <f t="shared" si="25"/>
        <v>13129078.122456159</v>
      </c>
      <c r="G117" s="511">
        <f t="shared" si="26"/>
        <v>14925064.142193001</v>
      </c>
      <c r="H117" s="645">
        <f t="shared" si="27"/>
        <v>5228268.9125312921</v>
      </c>
      <c r="I117" s="628">
        <f t="shared" si="28"/>
        <v>5228268.9125312921</v>
      </c>
      <c r="J117" s="505">
        <f t="shared" si="16"/>
        <v>0</v>
      </c>
      <c r="K117" s="505"/>
      <c r="L117" s="513"/>
      <c r="M117" s="505">
        <f t="shared" si="17"/>
        <v>0</v>
      </c>
      <c r="N117" s="513"/>
      <c r="O117" s="505">
        <f t="shared" si="18"/>
        <v>0</v>
      </c>
      <c r="P117" s="505">
        <f t="shared" si="19"/>
        <v>0</v>
      </c>
      <c r="Q117" s="244"/>
      <c r="R117" s="244"/>
      <c r="S117" s="244"/>
      <c r="T117" s="244"/>
      <c r="U117" s="244"/>
    </row>
    <row r="118" spans="3:21" ht="12.5">
      <c r="C118" s="496">
        <f>IF(D94="","-",+C117+1)</f>
        <v>2034</v>
      </c>
      <c r="D118" s="350">
        <f>IF(F117+SUM(E$100:E117)=D$93,F117,D$93-SUM(E$100:E117))</f>
        <v>13129078.122456159</v>
      </c>
      <c r="E118" s="510">
        <f>IF(+J97&lt;F117,J97,D118)</f>
        <v>3591972.039473684</v>
      </c>
      <c r="F118" s="511">
        <f t="shared" si="25"/>
        <v>9537106.0829824749</v>
      </c>
      <c r="G118" s="511">
        <f t="shared" si="26"/>
        <v>11333092.102719318</v>
      </c>
      <c r="H118" s="645">
        <f t="shared" si="27"/>
        <v>4834466.0745464675</v>
      </c>
      <c r="I118" s="628">
        <f t="shared" si="28"/>
        <v>4834466.0745464675</v>
      </c>
      <c r="J118" s="505">
        <f t="shared" si="16"/>
        <v>0</v>
      </c>
      <c r="K118" s="505"/>
      <c r="L118" s="513"/>
      <c r="M118" s="505">
        <f t="shared" si="17"/>
        <v>0</v>
      </c>
      <c r="N118" s="513"/>
      <c r="O118" s="505">
        <f t="shared" si="18"/>
        <v>0</v>
      </c>
      <c r="P118" s="505">
        <f t="shared" si="19"/>
        <v>0</v>
      </c>
      <c r="Q118" s="244"/>
      <c r="R118" s="244"/>
      <c r="S118" s="244"/>
      <c r="T118" s="244"/>
      <c r="U118" s="244"/>
    </row>
    <row r="119" spans="3:21" ht="12.5">
      <c r="C119" s="496">
        <f>IF(D94="","-",+C118+1)</f>
        <v>2035</v>
      </c>
      <c r="D119" s="350">
        <f>IF(F118+SUM(E$100:E118)=D$93,F118,D$93-SUM(E$100:E118))</f>
        <v>9537106.0829824749</v>
      </c>
      <c r="E119" s="510">
        <f>IF(+J97&lt;F118,J97,D119)</f>
        <v>3591972.039473684</v>
      </c>
      <c r="F119" s="511">
        <f t="shared" si="25"/>
        <v>5945134.0435087904</v>
      </c>
      <c r="G119" s="511">
        <f t="shared" si="26"/>
        <v>7741120.0632456327</v>
      </c>
      <c r="H119" s="645">
        <f t="shared" si="27"/>
        <v>4440663.236561643</v>
      </c>
      <c r="I119" s="628">
        <f t="shared" si="28"/>
        <v>4440663.236561643</v>
      </c>
      <c r="J119" s="505">
        <f t="shared" si="16"/>
        <v>0</v>
      </c>
      <c r="K119" s="505"/>
      <c r="L119" s="513"/>
      <c r="M119" s="505">
        <f t="shared" si="17"/>
        <v>0</v>
      </c>
      <c r="N119" s="513"/>
      <c r="O119" s="505">
        <f t="shared" si="18"/>
        <v>0</v>
      </c>
      <c r="P119" s="505">
        <f t="shared" si="19"/>
        <v>0</v>
      </c>
      <c r="Q119" s="244"/>
      <c r="R119" s="244"/>
      <c r="S119" s="244"/>
      <c r="T119" s="244"/>
      <c r="U119" s="244"/>
    </row>
    <row r="120" spans="3:21" ht="12.5">
      <c r="C120" s="496">
        <f>IF(D94="","-",+C119+1)</f>
        <v>2036</v>
      </c>
      <c r="D120" s="350">
        <f>IF(F119+SUM(E$100:E119)=D$93,F119,D$93-SUM(E$100:E119))</f>
        <v>5945134.0435087904</v>
      </c>
      <c r="E120" s="510">
        <f>IF(+J97&lt;F119,J97,D120)</f>
        <v>3591972.039473684</v>
      </c>
      <c r="F120" s="511">
        <f t="shared" si="25"/>
        <v>2353162.0040351064</v>
      </c>
      <c r="G120" s="511">
        <f t="shared" si="26"/>
        <v>4149148.0237719482</v>
      </c>
      <c r="H120" s="645">
        <f t="shared" si="27"/>
        <v>4046860.3985768179</v>
      </c>
      <c r="I120" s="628">
        <f t="shared" si="28"/>
        <v>4046860.3985768179</v>
      </c>
      <c r="J120" s="505">
        <f t="shared" si="16"/>
        <v>0</v>
      </c>
      <c r="K120" s="505"/>
      <c r="L120" s="513"/>
      <c r="M120" s="505">
        <f t="shared" si="17"/>
        <v>0</v>
      </c>
      <c r="N120" s="513"/>
      <c r="O120" s="505">
        <f t="shared" si="18"/>
        <v>0</v>
      </c>
      <c r="P120" s="505">
        <f t="shared" si="19"/>
        <v>0</v>
      </c>
      <c r="Q120" s="244"/>
      <c r="R120" s="244"/>
      <c r="S120" s="244"/>
      <c r="T120" s="244"/>
      <c r="U120" s="244"/>
    </row>
    <row r="121" spans="3:21" ht="12.5">
      <c r="C121" s="496">
        <f>IF(D94="","-",+C120+1)</f>
        <v>2037</v>
      </c>
      <c r="D121" s="350">
        <f>IF(F120+SUM(E$100:E120)=D$93,F120,D$93-SUM(E$100:E120))</f>
        <v>2353162.0040351064</v>
      </c>
      <c r="E121" s="510">
        <f>IF(+J97&lt;F120,J97,D121)</f>
        <v>2353162.0040351064</v>
      </c>
      <c r="F121" s="511">
        <f t="shared" si="25"/>
        <v>0</v>
      </c>
      <c r="G121" s="511">
        <f t="shared" si="26"/>
        <v>1176581.0020175532</v>
      </c>
      <c r="H121" s="645">
        <f t="shared" si="27"/>
        <v>2482155.4740904672</v>
      </c>
      <c r="I121" s="628">
        <f t="shared" si="28"/>
        <v>2482155.4740904672</v>
      </c>
      <c r="J121" s="505">
        <f t="shared" si="16"/>
        <v>0</v>
      </c>
      <c r="K121" s="505"/>
      <c r="L121" s="513"/>
      <c r="M121" s="505">
        <f t="shared" si="17"/>
        <v>0</v>
      </c>
      <c r="N121" s="513"/>
      <c r="O121" s="505">
        <f t="shared" si="18"/>
        <v>0</v>
      </c>
      <c r="P121" s="505">
        <f t="shared" si="19"/>
        <v>0</v>
      </c>
      <c r="Q121" s="244"/>
      <c r="R121" s="244"/>
      <c r="S121" s="244"/>
      <c r="T121" s="244"/>
      <c r="U121" s="244"/>
    </row>
    <row r="122" spans="3:21" ht="12.5">
      <c r="C122" s="496">
        <f>IF(D94="","-",+C121+1)</f>
        <v>2038</v>
      </c>
      <c r="D122" s="350">
        <f>IF(F121+SUM(E$100:E121)=D$93,F121,D$93-SUM(E$100:E121))</f>
        <v>0</v>
      </c>
      <c r="E122" s="510">
        <f>IF(+J97&lt;F121,J97,D122)</f>
        <v>0</v>
      </c>
      <c r="F122" s="511">
        <f t="shared" si="25"/>
        <v>0</v>
      </c>
      <c r="G122" s="511">
        <f t="shared" si="26"/>
        <v>0</v>
      </c>
      <c r="H122" s="645">
        <f t="shared" si="27"/>
        <v>0</v>
      </c>
      <c r="I122" s="628">
        <f t="shared" si="28"/>
        <v>0</v>
      </c>
      <c r="J122" s="505">
        <f t="shared" si="16"/>
        <v>0</v>
      </c>
      <c r="K122" s="505"/>
      <c r="L122" s="513"/>
      <c r="M122" s="505">
        <f t="shared" si="17"/>
        <v>0</v>
      </c>
      <c r="N122" s="513"/>
      <c r="O122" s="505">
        <f t="shared" si="18"/>
        <v>0</v>
      </c>
      <c r="P122" s="505">
        <f t="shared" si="19"/>
        <v>0</v>
      </c>
      <c r="Q122" s="244"/>
      <c r="R122" s="244"/>
      <c r="S122" s="244"/>
      <c r="T122" s="244"/>
      <c r="U122" s="244"/>
    </row>
    <row r="123" spans="3:21" ht="12.5">
      <c r="C123" s="496">
        <f>IF(D94="","-",+C122+1)</f>
        <v>2039</v>
      </c>
      <c r="D123" s="350">
        <f>IF(F122+SUM(E$100:E122)=D$93,F122,D$93-SUM(E$100:E122))</f>
        <v>0</v>
      </c>
      <c r="E123" s="510">
        <f>IF(+J97&lt;F122,J97,D123)</f>
        <v>0</v>
      </c>
      <c r="F123" s="511">
        <f t="shared" si="25"/>
        <v>0</v>
      </c>
      <c r="G123" s="511">
        <f t="shared" si="26"/>
        <v>0</v>
      </c>
      <c r="H123" s="645">
        <f t="shared" si="27"/>
        <v>0</v>
      </c>
      <c r="I123" s="628">
        <f t="shared" si="28"/>
        <v>0</v>
      </c>
      <c r="J123" s="505">
        <f t="shared" si="16"/>
        <v>0</v>
      </c>
      <c r="K123" s="505"/>
      <c r="L123" s="513"/>
      <c r="M123" s="505">
        <f t="shared" si="17"/>
        <v>0</v>
      </c>
      <c r="N123" s="513"/>
      <c r="O123" s="505">
        <f t="shared" si="18"/>
        <v>0</v>
      </c>
      <c r="P123" s="505">
        <f t="shared" si="19"/>
        <v>0</v>
      </c>
      <c r="Q123" s="244"/>
      <c r="R123" s="244"/>
      <c r="S123" s="244"/>
      <c r="T123" s="244"/>
      <c r="U123" s="244"/>
    </row>
    <row r="124" spans="3:21" ht="12.5">
      <c r="C124" s="496">
        <f>IF(D94="","-",+C123+1)</f>
        <v>2040</v>
      </c>
      <c r="D124" s="350">
        <f>IF(F123+SUM(E$100:E123)=D$93,F123,D$93-SUM(E$100:E123))</f>
        <v>0</v>
      </c>
      <c r="E124" s="510">
        <f>IF(+J97&lt;F123,J97,D124)</f>
        <v>0</v>
      </c>
      <c r="F124" s="511">
        <f t="shared" si="25"/>
        <v>0</v>
      </c>
      <c r="G124" s="511">
        <f t="shared" si="26"/>
        <v>0</v>
      </c>
      <c r="H124" s="645">
        <f t="shared" si="27"/>
        <v>0</v>
      </c>
      <c r="I124" s="628">
        <f t="shared" si="28"/>
        <v>0</v>
      </c>
      <c r="J124" s="505">
        <f t="shared" si="16"/>
        <v>0</v>
      </c>
      <c r="K124" s="505"/>
      <c r="L124" s="513"/>
      <c r="M124" s="505">
        <f t="shared" si="17"/>
        <v>0</v>
      </c>
      <c r="N124" s="513"/>
      <c r="O124" s="505">
        <f t="shared" si="18"/>
        <v>0</v>
      </c>
      <c r="P124" s="505">
        <f t="shared" si="19"/>
        <v>0</v>
      </c>
      <c r="Q124" s="244"/>
      <c r="R124" s="244"/>
      <c r="S124" s="244"/>
      <c r="T124" s="244"/>
      <c r="U124" s="244"/>
    </row>
    <row r="125" spans="3:21" ht="12.5">
      <c r="C125" s="496">
        <f>IF(D94="","-",+C124+1)</f>
        <v>2041</v>
      </c>
      <c r="D125" s="350">
        <f>IF(F124+SUM(E$100:E124)=D$93,F124,D$93-SUM(E$100:E124))</f>
        <v>0</v>
      </c>
      <c r="E125" s="510">
        <f>IF(+J97&lt;F124,J97,D125)</f>
        <v>0</v>
      </c>
      <c r="F125" s="511">
        <f t="shared" si="25"/>
        <v>0</v>
      </c>
      <c r="G125" s="511">
        <f t="shared" si="26"/>
        <v>0</v>
      </c>
      <c r="H125" s="645">
        <f t="shared" si="27"/>
        <v>0</v>
      </c>
      <c r="I125" s="628">
        <f t="shared" si="28"/>
        <v>0</v>
      </c>
      <c r="J125" s="505">
        <f t="shared" si="16"/>
        <v>0</v>
      </c>
      <c r="K125" s="505"/>
      <c r="L125" s="513"/>
      <c r="M125" s="505">
        <f t="shared" si="17"/>
        <v>0</v>
      </c>
      <c r="N125" s="513"/>
      <c r="O125" s="505">
        <f t="shared" si="18"/>
        <v>0</v>
      </c>
      <c r="P125" s="505">
        <f t="shared" si="19"/>
        <v>0</v>
      </c>
      <c r="Q125" s="244"/>
      <c r="R125" s="244"/>
      <c r="S125" s="244"/>
      <c r="T125" s="244"/>
      <c r="U125" s="244"/>
    </row>
    <row r="126" spans="3:21" ht="12.5">
      <c r="C126" s="496">
        <f>IF(D94="","-",+C125+1)</f>
        <v>2042</v>
      </c>
      <c r="D126" s="350">
        <f>IF(F125+SUM(E$100:E125)=D$93,F125,D$93-SUM(E$100:E125))</f>
        <v>0</v>
      </c>
      <c r="E126" s="510">
        <f>IF(+J97&lt;F125,J97,D126)</f>
        <v>0</v>
      </c>
      <c r="F126" s="511">
        <f t="shared" si="25"/>
        <v>0</v>
      </c>
      <c r="G126" s="511">
        <f t="shared" si="26"/>
        <v>0</v>
      </c>
      <c r="H126" s="645">
        <f t="shared" si="27"/>
        <v>0</v>
      </c>
      <c r="I126" s="628">
        <f t="shared" si="28"/>
        <v>0</v>
      </c>
      <c r="J126" s="505">
        <f t="shared" si="16"/>
        <v>0</v>
      </c>
      <c r="K126" s="505"/>
      <c r="L126" s="513"/>
      <c r="M126" s="505">
        <f t="shared" si="17"/>
        <v>0</v>
      </c>
      <c r="N126" s="513"/>
      <c r="O126" s="505">
        <f t="shared" si="18"/>
        <v>0</v>
      </c>
      <c r="P126" s="505">
        <f t="shared" si="19"/>
        <v>0</v>
      </c>
      <c r="Q126" s="244"/>
      <c r="R126" s="244"/>
      <c r="S126" s="244"/>
      <c r="T126" s="244"/>
      <c r="U126" s="244"/>
    </row>
    <row r="127" spans="3:21" ht="12.5">
      <c r="C127" s="496">
        <f>IF(D94="","-",+C126+1)</f>
        <v>2043</v>
      </c>
      <c r="D127" s="350">
        <f>IF(F126+SUM(E$100:E126)=D$93,F126,D$93-SUM(E$100:E126))</f>
        <v>0</v>
      </c>
      <c r="E127" s="510">
        <f>IF(+J97&lt;F126,J97,D127)</f>
        <v>0</v>
      </c>
      <c r="F127" s="511">
        <f t="shared" si="25"/>
        <v>0</v>
      </c>
      <c r="G127" s="511">
        <f t="shared" si="26"/>
        <v>0</v>
      </c>
      <c r="H127" s="645">
        <f t="shared" si="27"/>
        <v>0</v>
      </c>
      <c r="I127" s="628">
        <f t="shared" si="28"/>
        <v>0</v>
      </c>
      <c r="J127" s="505">
        <f t="shared" si="16"/>
        <v>0</v>
      </c>
      <c r="K127" s="505"/>
      <c r="L127" s="513"/>
      <c r="M127" s="505">
        <f t="shared" si="17"/>
        <v>0</v>
      </c>
      <c r="N127" s="513"/>
      <c r="O127" s="505">
        <f t="shared" si="18"/>
        <v>0</v>
      </c>
      <c r="P127" s="505">
        <f t="shared" si="19"/>
        <v>0</v>
      </c>
      <c r="Q127" s="244"/>
      <c r="R127" s="244"/>
      <c r="S127" s="244"/>
      <c r="T127" s="244"/>
      <c r="U127" s="244"/>
    </row>
    <row r="128" spans="3:21" ht="12.5">
      <c r="C128" s="496">
        <f>IF(D94="","-",+C127+1)</f>
        <v>2044</v>
      </c>
      <c r="D128" s="350">
        <f>IF(F127+SUM(E$100:E127)=D$93,F127,D$93-SUM(E$100:E127))</f>
        <v>0</v>
      </c>
      <c r="E128" s="510">
        <f>IF(+J97&lt;F127,J97,D128)</f>
        <v>0</v>
      </c>
      <c r="F128" s="511">
        <f t="shared" si="25"/>
        <v>0</v>
      </c>
      <c r="G128" s="511">
        <f t="shared" si="26"/>
        <v>0</v>
      </c>
      <c r="H128" s="645">
        <f t="shared" si="27"/>
        <v>0</v>
      </c>
      <c r="I128" s="628">
        <f t="shared" si="28"/>
        <v>0</v>
      </c>
      <c r="J128" s="505">
        <f t="shared" si="16"/>
        <v>0</v>
      </c>
      <c r="K128" s="505"/>
      <c r="L128" s="513"/>
      <c r="M128" s="505">
        <f t="shared" si="17"/>
        <v>0</v>
      </c>
      <c r="N128" s="513"/>
      <c r="O128" s="505">
        <f t="shared" si="18"/>
        <v>0</v>
      </c>
      <c r="P128" s="505">
        <f t="shared" si="19"/>
        <v>0</v>
      </c>
      <c r="Q128" s="244"/>
      <c r="R128" s="244"/>
      <c r="S128" s="244"/>
      <c r="T128" s="244"/>
      <c r="U128" s="244"/>
    </row>
    <row r="129" spans="3:21" ht="12.5">
      <c r="C129" s="496">
        <f>IF(D94="","-",+C128+1)</f>
        <v>2045</v>
      </c>
      <c r="D129" s="350">
        <f>IF(F128+SUM(E$100:E128)=D$93,F128,D$93-SUM(E$100:E128))</f>
        <v>0</v>
      </c>
      <c r="E129" s="510">
        <f>IF(+J97&lt;F128,J97,D129)</f>
        <v>0</v>
      </c>
      <c r="F129" s="511">
        <f t="shared" si="25"/>
        <v>0</v>
      </c>
      <c r="G129" s="511">
        <f t="shared" si="26"/>
        <v>0</v>
      </c>
      <c r="H129" s="645">
        <f t="shared" si="27"/>
        <v>0</v>
      </c>
      <c r="I129" s="628">
        <f t="shared" si="28"/>
        <v>0</v>
      </c>
      <c r="J129" s="505">
        <f t="shared" si="16"/>
        <v>0</v>
      </c>
      <c r="K129" s="505"/>
      <c r="L129" s="513"/>
      <c r="M129" s="505">
        <f t="shared" si="17"/>
        <v>0</v>
      </c>
      <c r="N129" s="513"/>
      <c r="O129" s="505">
        <f t="shared" si="18"/>
        <v>0</v>
      </c>
      <c r="P129" s="505">
        <f t="shared" si="19"/>
        <v>0</v>
      </c>
      <c r="Q129" s="244"/>
      <c r="R129" s="244"/>
      <c r="S129" s="244"/>
      <c r="T129" s="244"/>
      <c r="U129" s="244"/>
    </row>
    <row r="130" spans="3:21" ht="12.5">
      <c r="C130" s="496">
        <f>IF(D94="","-",+C129+1)</f>
        <v>2046</v>
      </c>
      <c r="D130" s="350">
        <f>IF(F129+SUM(E$100:E129)=D$93,F129,D$93-SUM(E$100:E129))</f>
        <v>0</v>
      </c>
      <c r="E130" s="510">
        <f>IF(+J97&lt;F129,J97,D130)</f>
        <v>0</v>
      </c>
      <c r="F130" s="511">
        <f t="shared" si="25"/>
        <v>0</v>
      </c>
      <c r="G130" s="511">
        <f t="shared" si="26"/>
        <v>0</v>
      </c>
      <c r="H130" s="645">
        <f t="shared" si="27"/>
        <v>0</v>
      </c>
      <c r="I130" s="628">
        <f t="shared" si="28"/>
        <v>0</v>
      </c>
      <c r="J130" s="505">
        <f t="shared" si="16"/>
        <v>0</v>
      </c>
      <c r="K130" s="505"/>
      <c r="L130" s="513"/>
      <c r="M130" s="505">
        <f t="shared" si="17"/>
        <v>0</v>
      </c>
      <c r="N130" s="513"/>
      <c r="O130" s="505">
        <f t="shared" si="18"/>
        <v>0</v>
      </c>
      <c r="P130" s="505">
        <f t="shared" si="19"/>
        <v>0</v>
      </c>
      <c r="Q130" s="244"/>
      <c r="R130" s="244"/>
      <c r="S130" s="244"/>
      <c r="T130" s="244"/>
      <c r="U130" s="244"/>
    </row>
    <row r="131" spans="3:21" ht="12.5">
      <c r="C131" s="496">
        <f>IF(D94="","-",+C130+1)</f>
        <v>2047</v>
      </c>
      <c r="D131" s="350">
        <f>IF(F130+SUM(E$100:E130)=D$93,F130,D$93-SUM(E$100:E130))</f>
        <v>0</v>
      </c>
      <c r="E131" s="510">
        <f>IF(+J97&lt;F130,J97,D131)</f>
        <v>0</v>
      </c>
      <c r="F131" s="511">
        <f t="shared" si="25"/>
        <v>0</v>
      </c>
      <c r="G131" s="511">
        <f t="shared" si="26"/>
        <v>0</v>
      </c>
      <c r="H131" s="645">
        <f t="shared" si="27"/>
        <v>0</v>
      </c>
      <c r="I131" s="628">
        <f t="shared" si="28"/>
        <v>0</v>
      </c>
      <c r="J131" s="505">
        <f t="shared" si="16"/>
        <v>0</v>
      </c>
      <c r="K131" s="505"/>
      <c r="L131" s="513"/>
      <c r="M131" s="505">
        <f t="shared" si="17"/>
        <v>0</v>
      </c>
      <c r="N131" s="513"/>
      <c r="O131" s="505">
        <f t="shared" si="18"/>
        <v>0</v>
      </c>
      <c r="P131" s="505">
        <f t="shared" si="19"/>
        <v>0</v>
      </c>
      <c r="Q131" s="244"/>
      <c r="R131" s="244"/>
      <c r="S131" s="244"/>
      <c r="T131" s="244"/>
      <c r="U131" s="244"/>
    </row>
    <row r="132" spans="3:21" ht="12.5">
      <c r="C132" s="496">
        <f>IF(D94="","-",+C131+1)</f>
        <v>2048</v>
      </c>
      <c r="D132" s="350">
        <f>IF(F131+SUM(E$100:E131)=D$93,F131,D$93-SUM(E$100:E131))</f>
        <v>0</v>
      </c>
      <c r="E132" s="510">
        <f>IF(+J97&lt;F131,J97,D132)</f>
        <v>0</v>
      </c>
      <c r="F132" s="511">
        <f t="shared" ref="F132:F155" si="29">+D132-E132</f>
        <v>0</v>
      </c>
      <c r="G132" s="511">
        <f t="shared" ref="G132:G155" si="30">+(F132+D132)/2</f>
        <v>0</v>
      </c>
      <c r="H132" s="645">
        <f t="shared" si="27"/>
        <v>0</v>
      </c>
      <c r="I132" s="628">
        <f t="shared" si="28"/>
        <v>0</v>
      </c>
      <c r="J132" s="505">
        <f t="shared" ref="J132:J155" si="31">+I542-H542</f>
        <v>0</v>
      </c>
      <c r="K132" s="505"/>
      <c r="L132" s="513"/>
      <c r="M132" s="505">
        <f t="shared" ref="M132:M155" si="32">IF(L542&lt;&gt;0,+H542-L542,0)</f>
        <v>0</v>
      </c>
      <c r="N132" s="513"/>
      <c r="O132" s="505">
        <f t="shared" ref="O132:O155" si="33">IF(N542&lt;&gt;0,+I542-N542,0)</f>
        <v>0</v>
      </c>
      <c r="P132" s="505">
        <f t="shared" ref="P132:P155" si="34">+O542-M542</f>
        <v>0</v>
      </c>
      <c r="Q132" s="244"/>
      <c r="R132" s="244"/>
      <c r="S132" s="244"/>
      <c r="T132" s="244"/>
      <c r="U132" s="244"/>
    </row>
    <row r="133" spans="3:21" ht="12.5">
      <c r="C133" s="496">
        <f>IF(D94="","-",+C132+1)</f>
        <v>2049</v>
      </c>
      <c r="D133" s="350">
        <f>IF(F132+SUM(E$100:E132)=D$93,F132,D$93-SUM(E$100:E132))</f>
        <v>0</v>
      </c>
      <c r="E133" s="510">
        <f>IF(+J97&lt;F132,J97,D133)</f>
        <v>0</v>
      </c>
      <c r="F133" s="511">
        <f t="shared" si="29"/>
        <v>0</v>
      </c>
      <c r="G133" s="511">
        <f t="shared" si="30"/>
        <v>0</v>
      </c>
      <c r="H133" s="645">
        <f t="shared" si="27"/>
        <v>0</v>
      </c>
      <c r="I133" s="628">
        <f t="shared" si="28"/>
        <v>0</v>
      </c>
      <c r="J133" s="505">
        <f t="shared" si="31"/>
        <v>0</v>
      </c>
      <c r="K133" s="505"/>
      <c r="L133" s="513"/>
      <c r="M133" s="505">
        <f t="shared" si="32"/>
        <v>0</v>
      </c>
      <c r="N133" s="513"/>
      <c r="O133" s="505">
        <f t="shared" si="33"/>
        <v>0</v>
      </c>
      <c r="P133" s="505">
        <f t="shared" si="34"/>
        <v>0</v>
      </c>
      <c r="Q133" s="244"/>
      <c r="R133" s="244"/>
      <c r="S133" s="244"/>
      <c r="T133" s="244"/>
      <c r="U133" s="244"/>
    </row>
    <row r="134" spans="3:21" ht="12.5">
      <c r="C134" s="496">
        <f>IF(D94="","-",+C133+1)</f>
        <v>2050</v>
      </c>
      <c r="D134" s="350">
        <f>IF(F133+SUM(E$100:E133)=D$93,F133,D$93-SUM(E$100:E133))</f>
        <v>0</v>
      </c>
      <c r="E134" s="510">
        <f>IF(+J97&lt;F133,J97,D134)</f>
        <v>0</v>
      </c>
      <c r="F134" s="511">
        <f t="shared" si="29"/>
        <v>0</v>
      </c>
      <c r="G134" s="511">
        <f t="shared" si="30"/>
        <v>0</v>
      </c>
      <c r="H134" s="645">
        <f t="shared" si="27"/>
        <v>0</v>
      </c>
      <c r="I134" s="628">
        <f t="shared" si="28"/>
        <v>0</v>
      </c>
      <c r="J134" s="505">
        <f t="shared" si="31"/>
        <v>0</v>
      </c>
      <c r="K134" s="505"/>
      <c r="L134" s="513"/>
      <c r="M134" s="505">
        <f t="shared" si="32"/>
        <v>0</v>
      </c>
      <c r="N134" s="513"/>
      <c r="O134" s="505">
        <f t="shared" si="33"/>
        <v>0</v>
      </c>
      <c r="P134" s="505">
        <f t="shared" si="34"/>
        <v>0</v>
      </c>
      <c r="Q134" s="244"/>
      <c r="R134" s="244"/>
      <c r="S134" s="244"/>
      <c r="T134" s="244"/>
      <c r="U134" s="244"/>
    </row>
    <row r="135" spans="3:21" ht="12.5">
      <c r="C135" s="496">
        <f>IF(D94="","-",+C134+1)</f>
        <v>2051</v>
      </c>
      <c r="D135" s="350">
        <f>IF(F134+SUM(E$100:E134)=D$93,F134,D$93-SUM(E$100:E134))</f>
        <v>0</v>
      </c>
      <c r="E135" s="510">
        <f>IF(+J97&lt;F134,J97,D135)</f>
        <v>0</v>
      </c>
      <c r="F135" s="511">
        <f t="shared" si="29"/>
        <v>0</v>
      </c>
      <c r="G135" s="511">
        <f t="shared" si="30"/>
        <v>0</v>
      </c>
      <c r="H135" s="645">
        <f t="shared" si="27"/>
        <v>0</v>
      </c>
      <c r="I135" s="628">
        <f t="shared" si="28"/>
        <v>0</v>
      </c>
      <c r="J135" s="505">
        <f t="shared" si="31"/>
        <v>0</v>
      </c>
      <c r="K135" s="505"/>
      <c r="L135" s="513"/>
      <c r="M135" s="505">
        <f t="shared" si="32"/>
        <v>0</v>
      </c>
      <c r="N135" s="513"/>
      <c r="O135" s="505">
        <f t="shared" si="33"/>
        <v>0</v>
      </c>
      <c r="P135" s="505">
        <f t="shared" si="34"/>
        <v>0</v>
      </c>
      <c r="Q135" s="244"/>
      <c r="R135" s="244"/>
      <c r="S135" s="244"/>
      <c r="T135" s="244"/>
      <c r="U135" s="244"/>
    </row>
    <row r="136" spans="3:21" ht="12.5">
      <c r="C136" s="496">
        <f>IF(D94="","-",+C135+1)</f>
        <v>2052</v>
      </c>
      <c r="D136" s="350">
        <f>IF(F135+SUM(E$100:E135)=D$93,F135,D$93-SUM(E$100:E135))</f>
        <v>0</v>
      </c>
      <c r="E136" s="510">
        <f>IF(+J97&lt;F135,J97,D136)</f>
        <v>0</v>
      </c>
      <c r="F136" s="511">
        <f t="shared" si="29"/>
        <v>0</v>
      </c>
      <c r="G136" s="511">
        <f t="shared" si="30"/>
        <v>0</v>
      </c>
      <c r="H136" s="645">
        <f t="shared" si="27"/>
        <v>0</v>
      </c>
      <c r="I136" s="628">
        <f t="shared" si="28"/>
        <v>0</v>
      </c>
      <c r="J136" s="505">
        <f t="shared" si="31"/>
        <v>0</v>
      </c>
      <c r="K136" s="505"/>
      <c r="L136" s="513"/>
      <c r="M136" s="505">
        <f t="shared" si="32"/>
        <v>0</v>
      </c>
      <c r="N136" s="513"/>
      <c r="O136" s="505">
        <f t="shared" si="33"/>
        <v>0</v>
      </c>
      <c r="P136" s="505">
        <f t="shared" si="34"/>
        <v>0</v>
      </c>
      <c r="Q136" s="244"/>
      <c r="R136" s="244"/>
      <c r="S136" s="244"/>
      <c r="T136" s="244"/>
      <c r="U136" s="244"/>
    </row>
    <row r="137" spans="3:21" ht="12.5">
      <c r="C137" s="496">
        <f>IF(D94="","-",+C136+1)</f>
        <v>2053</v>
      </c>
      <c r="D137" s="350">
        <f>IF(F136+SUM(E$100:E136)=D$93,F136,D$93-SUM(E$100:E136))</f>
        <v>0</v>
      </c>
      <c r="E137" s="510">
        <f>IF(+J97&lt;F136,J97,D137)</f>
        <v>0</v>
      </c>
      <c r="F137" s="511">
        <f t="shared" si="29"/>
        <v>0</v>
      </c>
      <c r="G137" s="511">
        <f t="shared" si="30"/>
        <v>0</v>
      </c>
      <c r="H137" s="645">
        <f t="shared" si="27"/>
        <v>0</v>
      </c>
      <c r="I137" s="628">
        <f t="shared" si="28"/>
        <v>0</v>
      </c>
      <c r="J137" s="505">
        <f t="shared" si="31"/>
        <v>0</v>
      </c>
      <c r="K137" s="505"/>
      <c r="L137" s="513"/>
      <c r="M137" s="505">
        <f t="shared" si="32"/>
        <v>0</v>
      </c>
      <c r="N137" s="513"/>
      <c r="O137" s="505">
        <f t="shared" si="33"/>
        <v>0</v>
      </c>
      <c r="P137" s="505">
        <f t="shared" si="34"/>
        <v>0</v>
      </c>
      <c r="Q137" s="244"/>
      <c r="R137" s="244"/>
      <c r="S137" s="244"/>
      <c r="T137" s="244"/>
      <c r="U137" s="244"/>
    </row>
    <row r="138" spans="3:21" ht="12.5">
      <c r="C138" s="496">
        <f>IF(D94="","-",+C137+1)</f>
        <v>2054</v>
      </c>
      <c r="D138" s="350">
        <f>IF(F137+SUM(E$100:E137)=D$93,F137,D$93-SUM(E$100:E137))</f>
        <v>0</v>
      </c>
      <c r="E138" s="510">
        <f>IF(+J97&lt;F137,J97,D138)</f>
        <v>0</v>
      </c>
      <c r="F138" s="511">
        <f t="shared" si="29"/>
        <v>0</v>
      </c>
      <c r="G138" s="511">
        <f t="shared" si="30"/>
        <v>0</v>
      </c>
      <c r="H138" s="645">
        <f t="shared" si="27"/>
        <v>0</v>
      </c>
      <c r="I138" s="628">
        <f t="shared" si="28"/>
        <v>0</v>
      </c>
      <c r="J138" s="505">
        <f t="shared" si="31"/>
        <v>0</v>
      </c>
      <c r="K138" s="505"/>
      <c r="L138" s="513"/>
      <c r="M138" s="505">
        <f t="shared" si="32"/>
        <v>0</v>
      </c>
      <c r="N138" s="513"/>
      <c r="O138" s="505">
        <f t="shared" si="33"/>
        <v>0</v>
      </c>
      <c r="P138" s="505">
        <f t="shared" si="34"/>
        <v>0</v>
      </c>
      <c r="Q138" s="244"/>
      <c r="R138" s="244"/>
      <c r="S138" s="244"/>
      <c r="T138" s="244"/>
      <c r="U138" s="244"/>
    </row>
    <row r="139" spans="3:21" ht="12.5">
      <c r="C139" s="496">
        <f>IF(D94="","-",+C138+1)</f>
        <v>2055</v>
      </c>
      <c r="D139" s="350">
        <f>IF(F138+SUM(E$100:E138)=D$93,F138,D$93-SUM(E$100:E138))</f>
        <v>0</v>
      </c>
      <c r="E139" s="510">
        <f>IF(+J97&lt;F138,J97,D139)</f>
        <v>0</v>
      </c>
      <c r="F139" s="511">
        <f t="shared" si="29"/>
        <v>0</v>
      </c>
      <c r="G139" s="511">
        <f t="shared" si="30"/>
        <v>0</v>
      </c>
      <c r="H139" s="645">
        <f t="shared" si="27"/>
        <v>0</v>
      </c>
      <c r="I139" s="628">
        <f t="shared" si="28"/>
        <v>0</v>
      </c>
      <c r="J139" s="505">
        <f t="shared" si="31"/>
        <v>0</v>
      </c>
      <c r="K139" s="505"/>
      <c r="L139" s="513"/>
      <c r="M139" s="505">
        <f t="shared" si="32"/>
        <v>0</v>
      </c>
      <c r="N139" s="513"/>
      <c r="O139" s="505">
        <f t="shared" si="33"/>
        <v>0</v>
      </c>
      <c r="P139" s="505">
        <f t="shared" si="34"/>
        <v>0</v>
      </c>
      <c r="Q139" s="244"/>
      <c r="R139" s="244"/>
      <c r="S139" s="244"/>
      <c r="T139" s="244"/>
      <c r="U139" s="244"/>
    </row>
    <row r="140" spans="3:21" ht="12.5">
      <c r="C140" s="496">
        <f>IF(D94="","-",+C139+1)</f>
        <v>2056</v>
      </c>
      <c r="D140" s="350">
        <f>IF(F139+SUM(E$100:E139)=D$93,F139,D$93-SUM(E$100:E139))</f>
        <v>0</v>
      </c>
      <c r="E140" s="510">
        <f>IF(+J97&lt;F139,J97,D140)</f>
        <v>0</v>
      </c>
      <c r="F140" s="511">
        <f t="shared" si="29"/>
        <v>0</v>
      </c>
      <c r="G140" s="511">
        <f t="shared" si="30"/>
        <v>0</v>
      </c>
      <c r="H140" s="645">
        <f t="shared" si="27"/>
        <v>0</v>
      </c>
      <c r="I140" s="628">
        <f t="shared" si="28"/>
        <v>0</v>
      </c>
      <c r="J140" s="505">
        <f t="shared" si="31"/>
        <v>0</v>
      </c>
      <c r="K140" s="505"/>
      <c r="L140" s="513"/>
      <c r="M140" s="505">
        <f t="shared" si="32"/>
        <v>0</v>
      </c>
      <c r="N140" s="513"/>
      <c r="O140" s="505">
        <f t="shared" si="33"/>
        <v>0</v>
      </c>
      <c r="P140" s="505">
        <f t="shared" si="34"/>
        <v>0</v>
      </c>
      <c r="Q140" s="244"/>
      <c r="R140" s="244"/>
      <c r="S140" s="244"/>
      <c r="T140" s="244"/>
      <c r="U140" s="244"/>
    </row>
    <row r="141" spans="3:21" ht="12.5">
      <c r="C141" s="496">
        <f>IF(D94="","-",+C140+1)</f>
        <v>2057</v>
      </c>
      <c r="D141" s="350">
        <f>IF(F140+SUM(E$100:E140)=D$93,F140,D$93-SUM(E$100:E140))</f>
        <v>0</v>
      </c>
      <c r="E141" s="510">
        <f>IF(+J97&lt;F140,J97,D141)</f>
        <v>0</v>
      </c>
      <c r="F141" s="511">
        <f t="shared" si="29"/>
        <v>0</v>
      </c>
      <c r="G141" s="511">
        <f t="shared" si="30"/>
        <v>0</v>
      </c>
      <c r="H141" s="645">
        <f t="shared" si="27"/>
        <v>0</v>
      </c>
      <c r="I141" s="628">
        <f t="shared" si="28"/>
        <v>0</v>
      </c>
      <c r="J141" s="505">
        <f t="shared" si="31"/>
        <v>0</v>
      </c>
      <c r="K141" s="505"/>
      <c r="L141" s="513"/>
      <c r="M141" s="505">
        <f t="shared" si="32"/>
        <v>0</v>
      </c>
      <c r="N141" s="513"/>
      <c r="O141" s="505">
        <f t="shared" si="33"/>
        <v>0</v>
      </c>
      <c r="P141" s="505">
        <f t="shared" si="34"/>
        <v>0</v>
      </c>
      <c r="Q141" s="244"/>
      <c r="R141" s="244"/>
      <c r="S141" s="244"/>
      <c r="T141" s="244"/>
      <c r="U141" s="244"/>
    </row>
    <row r="142" spans="3:21" ht="12.5">
      <c r="C142" s="496">
        <f>IF(D94="","-",+C141+1)</f>
        <v>2058</v>
      </c>
      <c r="D142" s="350">
        <f>IF(F141+SUM(E$100:E141)=D$93,F141,D$93-SUM(E$100:E141))</f>
        <v>0</v>
      </c>
      <c r="E142" s="510">
        <f>IF(+J97&lt;F141,J97,D142)</f>
        <v>0</v>
      </c>
      <c r="F142" s="511">
        <f t="shared" si="29"/>
        <v>0</v>
      </c>
      <c r="G142" s="511">
        <f t="shared" si="30"/>
        <v>0</v>
      </c>
      <c r="H142" s="645">
        <f t="shared" si="27"/>
        <v>0</v>
      </c>
      <c r="I142" s="628">
        <f t="shared" si="28"/>
        <v>0</v>
      </c>
      <c r="J142" s="505">
        <f t="shared" si="31"/>
        <v>0</v>
      </c>
      <c r="K142" s="505"/>
      <c r="L142" s="513"/>
      <c r="M142" s="505">
        <f t="shared" si="32"/>
        <v>0</v>
      </c>
      <c r="N142" s="513"/>
      <c r="O142" s="505">
        <f t="shared" si="33"/>
        <v>0</v>
      </c>
      <c r="P142" s="505">
        <f t="shared" si="34"/>
        <v>0</v>
      </c>
      <c r="Q142" s="244"/>
      <c r="R142" s="244"/>
      <c r="S142" s="244"/>
      <c r="T142" s="244"/>
      <c r="U142" s="244"/>
    </row>
    <row r="143" spans="3:21" ht="12.5">
      <c r="C143" s="496">
        <f>IF(D94="","-",+C142+1)</f>
        <v>2059</v>
      </c>
      <c r="D143" s="350">
        <f>IF(F142+SUM(E$100:E142)=D$93,F142,D$93-SUM(E$100:E142))</f>
        <v>0</v>
      </c>
      <c r="E143" s="510">
        <f>IF(+J97&lt;F142,J97,D143)</f>
        <v>0</v>
      </c>
      <c r="F143" s="511">
        <f t="shared" si="29"/>
        <v>0</v>
      </c>
      <c r="G143" s="511">
        <f t="shared" si="30"/>
        <v>0</v>
      </c>
      <c r="H143" s="645">
        <f t="shared" si="27"/>
        <v>0</v>
      </c>
      <c r="I143" s="628">
        <f t="shared" si="28"/>
        <v>0</v>
      </c>
      <c r="J143" s="505">
        <f t="shared" si="31"/>
        <v>0</v>
      </c>
      <c r="K143" s="505"/>
      <c r="L143" s="513"/>
      <c r="M143" s="505">
        <f t="shared" si="32"/>
        <v>0</v>
      </c>
      <c r="N143" s="513"/>
      <c r="O143" s="505">
        <f t="shared" si="33"/>
        <v>0</v>
      </c>
      <c r="P143" s="505">
        <f t="shared" si="34"/>
        <v>0</v>
      </c>
      <c r="Q143" s="244"/>
      <c r="R143" s="244"/>
      <c r="S143" s="244"/>
      <c r="T143" s="244"/>
      <c r="U143" s="244"/>
    </row>
    <row r="144" spans="3:21" ht="12.5">
      <c r="C144" s="496">
        <f>IF(D94="","-",+C143+1)</f>
        <v>2060</v>
      </c>
      <c r="D144" s="350">
        <f>IF(F143+SUM(E$100:E143)=D$93,F143,D$93-SUM(E$100:E143))</f>
        <v>0</v>
      </c>
      <c r="E144" s="510">
        <f>IF(+J97&lt;F143,J97,D144)</f>
        <v>0</v>
      </c>
      <c r="F144" s="511">
        <f t="shared" si="29"/>
        <v>0</v>
      </c>
      <c r="G144" s="511">
        <f t="shared" si="30"/>
        <v>0</v>
      </c>
      <c r="H144" s="645">
        <f t="shared" si="27"/>
        <v>0</v>
      </c>
      <c r="I144" s="628">
        <f t="shared" si="28"/>
        <v>0</v>
      </c>
      <c r="J144" s="505">
        <f t="shared" si="31"/>
        <v>0</v>
      </c>
      <c r="K144" s="505"/>
      <c r="L144" s="513"/>
      <c r="M144" s="505">
        <f t="shared" si="32"/>
        <v>0</v>
      </c>
      <c r="N144" s="513"/>
      <c r="O144" s="505">
        <f t="shared" si="33"/>
        <v>0</v>
      </c>
      <c r="P144" s="505">
        <f t="shared" si="34"/>
        <v>0</v>
      </c>
      <c r="Q144" s="244"/>
      <c r="R144" s="244"/>
      <c r="S144" s="244"/>
      <c r="T144" s="244"/>
      <c r="U144" s="244"/>
    </row>
    <row r="145" spans="3:21" ht="12.5">
      <c r="C145" s="496">
        <f>IF(D94="","-",+C144+1)</f>
        <v>2061</v>
      </c>
      <c r="D145" s="350">
        <f>IF(F144+SUM(E$100:E144)=D$93,F144,D$93-SUM(E$100:E144))</f>
        <v>0</v>
      </c>
      <c r="E145" s="510">
        <f>IF(+J97&lt;F144,J97,D145)</f>
        <v>0</v>
      </c>
      <c r="F145" s="511">
        <f t="shared" si="29"/>
        <v>0</v>
      </c>
      <c r="G145" s="511">
        <f t="shared" si="30"/>
        <v>0</v>
      </c>
      <c r="H145" s="645">
        <f t="shared" si="27"/>
        <v>0</v>
      </c>
      <c r="I145" s="628">
        <f t="shared" si="28"/>
        <v>0</v>
      </c>
      <c r="J145" s="505">
        <f t="shared" si="31"/>
        <v>0</v>
      </c>
      <c r="K145" s="505"/>
      <c r="L145" s="513"/>
      <c r="M145" s="505">
        <f t="shared" si="32"/>
        <v>0</v>
      </c>
      <c r="N145" s="513"/>
      <c r="O145" s="505">
        <f t="shared" si="33"/>
        <v>0</v>
      </c>
      <c r="P145" s="505">
        <f t="shared" si="34"/>
        <v>0</v>
      </c>
      <c r="Q145" s="244"/>
      <c r="R145" s="244"/>
      <c r="S145" s="244"/>
      <c r="T145" s="244"/>
      <c r="U145" s="244"/>
    </row>
    <row r="146" spans="3:21" ht="12.5">
      <c r="C146" s="496">
        <f>IF(D94="","-",+C145+1)</f>
        <v>2062</v>
      </c>
      <c r="D146" s="350">
        <f>IF(F145+SUM(E$100:E145)=D$93,F145,D$93-SUM(E$100:E145))</f>
        <v>0</v>
      </c>
      <c r="E146" s="510">
        <f>IF(+J97&lt;F145,J97,D146)</f>
        <v>0</v>
      </c>
      <c r="F146" s="511">
        <f t="shared" si="29"/>
        <v>0</v>
      </c>
      <c r="G146" s="511">
        <f t="shared" si="30"/>
        <v>0</v>
      </c>
      <c r="H146" s="645">
        <f t="shared" si="27"/>
        <v>0</v>
      </c>
      <c r="I146" s="628">
        <f t="shared" si="28"/>
        <v>0</v>
      </c>
      <c r="J146" s="505">
        <f t="shared" si="31"/>
        <v>0</v>
      </c>
      <c r="K146" s="505"/>
      <c r="L146" s="513"/>
      <c r="M146" s="505">
        <f t="shared" si="32"/>
        <v>0</v>
      </c>
      <c r="N146" s="513"/>
      <c r="O146" s="505">
        <f t="shared" si="33"/>
        <v>0</v>
      </c>
      <c r="P146" s="505">
        <f t="shared" si="34"/>
        <v>0</v>
      </c>
      <c r="Q146" s="244"/>
      <c r="R146" s="244"/>
      <c r="S146" s="244"/>
      <c r="T146" s="244"/>
      <c r="U146" s="244"/>
    </row>
    <row r="147" spans="3:21" ht="12.5">
      <c r="C147" s="496">
        <f>IF(D94="","-",+C146+1)</f>
        <v>2063</v>
      </c>
      <c r="D147" s="350">
        <f>IF(F146+SUM(E$100:E146)=D$93,F146,D$93-SUM(E$100:E146))</f>
        <v>0</v>
      </c>
      <c r="E147" s="510">
        <f>IF(+J97&lt;F146,J97,D147)</f>
        <v>0</v>
      </c>
      <c r="F147" s="511">
        <f t="shared" si="29"/>
        <v>0</v>
      </c>
      <c r="G147" s="511">
        <f t="shared" si="30"/>
        <v>0</v>
      </c>
      <c r="H147" s="645">
        <f t="shared" si="27"/>
        <v>0</v>
      </c>
      <c r="I147" s="628">
        <f t="shared" si="28"/>
        <v>0</v>
      </c>
      <c r="J147" s="505">
        <f t="shared" si="31"/>
        <v>0</v>
      </c>
      <c r="K147" s="505"/>
      <c r="L147" s="513"/>
      <c r="M147" s="505">
        <f t="shared" si="32"/>
        <v>0</v>
      </c>
      <c r="N147" s="513"/>
      <c r="O147" s="505">
        <f t="shared" si="33"/>
        <v>0</v>
      </c>
      <c r="P147" s="505">
        <f t="shared" si="34"/>
        <v>0</v>
      </c>
      <c r="Q147" s="244"/>
      <c r="R147" s="244"/>
      <c r="S147" s="244"/>
      <c r="T147" s="244"/>
      <c r="U147" s="244"/>
    </row>
    <row r="148" spans="3:21" ht="12.5">
      <c r="C148" s="496">
        <f>IF(D94="","-",+C147+1)</f>
        <v>2064</v>
      </c>
      <c r="D148" s="350">
        <f>IF(F147+SUM(E$100:E147)=D$93,F147,D$93-SUM(E$100:E147))</f>
        <v>0</v>
      </c>
      <c r="E148" s="510">
        <f>IF(+J97&lt;F147,J97,D148)</f>
        <v>0</v>
      </c>
      <c r="F148" s="511">
        <f t="shared" si="29"/>
        <v>0</v>
      </c>
      <c r="G148" s="511">
        <f t="shared" si="30"/>
        <v>0</v>
      </c>
      <c r="H148" s="645">
        <f t="shared" si="27"/>
        <v>0</v>
      </c>
      <c r="I148" s="628">
        <f t="shared" si="28"/>
        <v>0</v>
      </c>
      <c r="J148" s="505">
        <f t="shared" si="31"/>
        <v>0</v>
      </c>
      <c r="K148" s="505"/>
      <c r="L148" s="513"/>
      <c r="M148" s="505">
        <f t="shared" si="32"/>
        <v>0</v>
      </c>
      <c r="N148" s="513"/>
      <c r="O148" s="505">
        <f t="shared" si="33"/>
        <v>0</v>
      </c>
      <c r="P148" s="505">
        <f t="shared" si="34"/>
        <v>0</v>
      </c>
      <c r="Q148" s="244"/>
      <c r="R148" s="244"/>
      <c r="S148" s="244"/>
      <c r="T148" s="244"/>
      <c r="U148" s="244"/>
    </row>
    <row r="149" spans="3:21" ht="12.5">
      <c r="C149" s="496">
        <f>IF(D94="","-",+C148+1)</f>
        <v>2065</v>
      </c>
      <c r="D149" s="350">
        <f>IF(F148+SUM(E$100:E148)=D$93,F148,D$93-SUM(E$100:E148))</f>
        <v>0</v>
      </c>
      <c r="E149" s="510">
        <f>IF(+J97&lt;F148,J97,D149)</f>
        <v>0</v>
      </c>
      <c r="F149" s="511">
        <f t="shared" si="29"/>
        <v>0</v>
      </c>
      <c r="G149" s="511">
        <f t="shared" si="30"/>
        <v>0</v>
      </c>
      <c r="H149" s="645">
        <f t="shared" si="27"/>
        <v>0</v>
      </c>
      <c r="I149" s="628">
        <f t="shared" si="28"/>
        <v>0</v>
      </c>
      <c r="J149" s="505">
        <f t="shared" si="31"/>
        <v>0</v>
      </c>
      <c r="K149" s="505"/>
      <c r="L149" s="513"/>
      <c r="M149" s="505">
        <f t="shared" si="32"/>
        <v>0</v>
      </c>
      <c r="N149" s="513"/>
      <c r="O149" s="505">
        <f t="shared" si="33"/>
        <v>0</v>
      </c>
      <c r="P149" s="505">
        <f t="shared" si="34"/>
        <v>0</v>
      </c>
      <c r="Q149" s="244"/>
      <c r="R149" s="244"/>
      <c r="S149" s="244"/>
      <c r="T149" s="244"/>
      <c r="U149" s="244"/>
    </row>
    <row r="150" spans="3:21" ht="12.5">
      <c r="C150" s="496">
        <f>IF(D94="","-",+C149+1)</f>
        <v>2066</v>
      </c>
      <c r="D150" s="350">
        <f>IF(F149+SUM(E$100:E149)=D$93,F149,D$93-SUM(E$100:E149))</f>
        <v>0</v>
      </c>
      <c r="E150" s="510">
        <f>IF(+J97&lt;F149,J97,D150)</f>
        <v>0</v>
      </c>
      <c r="F150" s="511">
        <f t="shared" si="29"/>
        <v>0</v>
      </c>
      <c r="G150" s="511">
        <f t="shared" si="30"/>
        <v>0</v>
      </c>
      <c r="H150" s="645">
        <f t="shared" si="27"/>
        <v>0</v>
      </c>
      <c r="I150" s="628">
        <f t="shared" si="28"/>
        <v>0</v>
      </c>
      <c r="J150" s="505">
        <f t="shared" si="31"/>
        <v>0</v>
      </c>
      <c r="K150" s="505"/>
      <c r="L150" s="513"/>
      <c r="M150" s="505">
        <f t="shared" si="32"/>
        <v>0</v>
      </c>
      <c r="N150" s="513"/>
      <c r="O150" s="505">
        <f t="shared" si="33"/>
        <v>0</v>
      </c>
      <c r="P150" s="505">
        <f t="shared" si="34"/>
        <v>0</v>
      </c>
      <c r="Q150" s="244"/>
      <c r="R150" s="244"/>
      <c r="S150" s="244"/>
      <c r="T150" s="244"/>
      <c r="U150" s="244"/>
    </row>
    <row r="151" spans="3:21" ht="12.5">
      <c r="C151" s="496">
        <f>IF(D94="","-",+C150+1)</f>
        <v>2067</v>
      </c>
      <c r="D151" s="350">
        <f>IF(F150+SUM(E$100:E150)=D$93,F150,D$93-SUM(E$100:E150))</f>
        <v>0</v>
      </c>
      <c r="E151" s="510">
        <f>IF(+J97&lt;F150,J97,D151)</f>
        <v>0</v>
      </c>
      <c r="F151" s="511">
        <f t="shared" si="29"/>
        <v>0</v>
      </c>
      <c r="G151" s="511">
        <f t="shared" si="30"/>
        <v>0</v>
      </c>
      <c r="H151" s="645">
        <f t="shared" si="27"/>
        <v>0</v>
      </c>
      <c r="I151" s="628">
        <f t="shared" si="28"/>
        <v>0</v>
      </c>
      <c r="J151" s="505">
        <f t="shared" si="31"/>
        <v>0</v>
      </c>
      <c r="K151" s="505"/>
      <c r="L151" s="513"/>
      <c r="M151" s="505">
        <f t="shared" si="32"/>
        <v>0</v>
      </c>
      <c r="N151" s="513"/>
      <c r="O151" s="505">
        <f t="shared" si="33"/>
        <v>0</v>
      </c>
      <c r="P151" s="505">
        <f t="shared" si="34"/>
        <v>0</v>
      </c>
      <c r="Q151" s="244"/>
      <c r="R151" s="244"/>
      <c r="S151" s="244"/>
      <c r="T151" s="244"/>
      <c r="U151" s="244"/>
    </row>
    <row r="152" spans="3:21" ht="12.5">
      <c r="C152" s="496">
        <f>IF(D94="","-",+C151+1)</f>
        <v>2068</v>
      </c>
      <c r="D152" s="350">
        <f>IF(F151+SUM(E$100:E151)=D$93,F151,D$93-SUM(E$100:E151))</f>
        <v>0</v>
      </c>
      <c r="E152" s="510">
        <f>IF(+J97&lt;F151,J97,D152)</f>
        <v>0</v>
      </c>
      <c r="F152" s="511">
        <f t="shared" si="29"/>
        <v>0</v>
      </c>
      <c r="G152" s="511">
        <f t="shared" si="30"/>
        <v>0</v>
      </c>
      <c r="H152" s="645">
        <f t="shared" si="27"/>
        <v>0</v>
      </c>
      <c r="I152" s="628">
        <f t="shared" si="28"/>
        <v>0</v>
      </c>
      <c r="J152" s="505">
        <f t="shared" si="31"/>
        <v>0</v>
      </c>
      <c r="K152" s="505"/>
      <c r="L152" s="513"/>
      <c r="M152" s="505">
        <f t="shared" si="32"/>
        <v>0</v>
      </c>
      <c r="N152" s="513"/>
      <c r="O152" s="505">
        <f t="shared" si="33"/>
        <v>0</v>
      </c>
      <c r="P152" s="505">
        <f t="shared" si="34"/>
        <v>0</v>
      </c>
      <c r="Q152" s="244"/>
      <c r="R152" s="244"/>
      <c r="S152" s="244"/>
      <c r="T152" s="244"/>
      <c r="U152" s="244"/>
    </row>
    <row r="153" spans="3:21" ht="12.5">
      <c r="C153" s="496">
        <f>IF(D94="","-",+C152+1)</f>
        <v>2069</v>
      </c>
      <c r="D153" s="350">
        <f>IF(F152+SUM(E$100:E152)=D$93,F152,D$93-SUM(E$100:E152))</f>
        <v>0</v>
      </c>
      <c r="E153" s="510">
        <f>IF(+J97&lt;F152,J97,D153)</f>
        <v>0</v>
      </c>
      <c r="F153" s="511">
        <f t="shared" si="29"/>
        <v>0</v>
      </c>
      <c r="G153" s="511">
        <f t="shared" si="30"/>
        <v>0</v>
      </c>
      <c r="H153" s="645">
        <f t="shared" si="27"/>
        <v>0</v>
      </c>
      <c r="I153" s="628">
        <f t="shared" si="28"/>
        <v>0</v>
      </c>
      <c r="J153" s="505">
        <f t="shared" si="31"/>
        <v>0</v>
      </c>
      <c r="K153" s="505"/>
      <c r="L153" s="513"/>
      <c r="M153" s="505">
        <f t="shared" si="32"/>
        <v>0</v>
      </c>
      <c r="N153" s="513"/>
      <c r="O153" s="505">
        <f t="shared" si="33"/>
        <v>0</v>
      </c>
      <c r="P153" s="505">
        <f t="shared" si="34"/>
        <v>0</v>
      </c>
      <c r="Q153" s="244"/>
      <c r="R153" s="244"/>
      <c r="S153" s="244"/>
      <c r="T153" s="244"/>
      <c r="U153" s="244"/>
    </row>
    <row r="154" spans="3:21" ht="12.5">
      <c r="C154" s="496">
        <f>IF(D94="","-",+C153+1)</f>
        <v>2070</v>
      </c>
      <c r="D154" s="350">
        <f>IF(F153+SUM(E$100:E153)=D$93,F153,D$93-SUM(E$100:E153))</f>
        <v>0</v>
      </c>
      <c r="E154" s="510">
        <f>IF(+J97&lt;F153,J97,D154)</f>
        <v>0</v>
      </c>
      <c r="F154" s="511">
        <f t="shared" si="29"/>
        <v>0</v>
      </c>
      <c r="G154" s="511">
        <f t="shared" si="30"/>
        <v>0</v>
      </c>
      <c r="H154" s="645">
        <f t="shared" si="27"/>
        <v>0</v>
      </c>
      <c r="I154" s="628">
        <f t="shared" si="28"/>
        <v>0</v>
      </c>
      <c r="J154" s="505">
        <f t="shared" si="31"/>
        <v>0</v>
      </c>
      <c r="K154" s="505"/>
      <c r="L154" s="513"/>
      <c r="M154" s="505">
        <f t="shared" si="32"/>
        <v>0</v>
      </c>
      <c r="N154" s="513"/>
      <c r="O154" s="505">
        <f t="shared" si="33"/>
        <v>0</v>
      </c>
      <c r="P154" s="505">
        <f t="shared" si="34"/>
        <v>0</v>
      </c>
      <c r="Q154" s="244"/>
      <c r="R154" s="244"/>
      <c r="S154" s="244"/>
      <c r="T154" s="244"/>
      <c r="U154" s="244"/>
    </row>
    <row r="155" spans="3:21" ht="13" thickBot="1">
      <c r="C155" s="525">
        <f>IF(D94="","-",+C154+1)</f>
        <v>2071</v>
      </c>
      <c r="D155" s="636">
        <f>IF(F154+SUM(E$100:E154)=D$93,F154,D$93-SUM(E$100:E154))</f>
        <v>0</v>
      </c>
      <c r="E155" s="527">
        <f>IF(+J97&lt;F154,J97,D155)</f>
        <v>0</v>
      </c>
      <c r="F155" s="528">
        <f t="shared" si="29"/>
        <v>0</v>
      </c>
      <c r="G155" s="528">
        <f t="shared" si="30"/>
        <v>0</v>
      </c>
      <c r="H155" s="645">
        <f t="shared" si="27"/>
        <v>0</v>
      </c>
      <c r="I155" s="624">
        <f t="shared" si="28"/>
        <v>0</v>
      </c>
      <c r="J155" s="532">
        <f t="shared" si="31"/>
        <v>0</v>
      </c>
      <c r="K155" s="505"/>
      <c r="L155" s="531"/>
      <c r="M155" s="532">
        <f t="shared" si="32"/>
        <v>0</v>
      </c>
      <c r="N155" s="531"/>
      <c r="O155" s="532">
        <f t="shared" si="33"/>
        <v>0</v>
      </c>
      <c r="P155" s="532">
        <f t="shared" si="34"/>
        <v>0</v>
      </c>
      <c r="Q155" s="244"/>
      <c r="R155" s="244"/>
      <c r="S155" s="244"/>
      <c r="T155" s="244"/>
      <c r="U155" s="244"/>
    </row>
    <row r="156" spans="3:21" ht="12.5">
      <c r="C156" s="350" t="s">
        <v>75</v>
      </c>
      <c r="D156" s="295"/>
      <c r="E156" s="295">
        <f>SUM(E100:E155)</f>
        <v>68247468.75</v>
      </c>
      <c r="F156" s="295"/>
      <c r="G156" s="295"/>
      <c r="H156" s="295">
        <f>SUM(H100:H155)</f>
        <v>153092489.46863317</v>
      </c>
      <c r="I156" s="295">
        <f>SUM(I100:I155)</f>
        <v>153092489.46863317</v>
      </c>
      <c r="J156" s="295">
        <f>SUM(J100:J155)</f>
        <v>0</v>
      </c>
      <c r="K156" s="295"/>
      <c r="L156" s="295"/>
      <c r="M156" s="295"/>
      <c r="N156" s="295"/>
      <c r="O156" s="295"/>
      <c r="P156" s="244"/>
      <c r="Q156" s="244"/>
      <c r="R156" s="244"/>
      <c r="S156" s="244"/>
      <c r="T156" s="244"/>
      <c r="U156" s="244"/>
    </row>
    <row r="157" spans="3:21" ht="12.5">
      <c r="C157" s="145" t="s">
        <v>90</v>
      </c>
      <c r="D157" s="293"/>
      <c r="E157" s="244"/>
      <c r="F157" s="244"/>
      <c r="G157" s="244"/>
      <c r="H157" s="244"/>
      <c r="I157" s="326"/>
      <c r="J157" s="326"/>
      <c r="K157" s="295"/>
      <c r="L157" s="326"/>
      <c r="M157" s="326"/>
      <c r="N157" s="326"/>
      <c r="O157" s="326"/>
      <c r="P157" s="244"/>
      <c r="Q157" s="244"/>
      <c r="R157" s="244"/>
      <c r="S157" s="244"/>
      <c r="T157" s="244"/>
      <c r="U157" s="244"/>
    </row>
    <row r="158" spans="3:21" ht="12.5">
      <c r="C158" s="575"/>
      <c r="D158" s="293"/>
      <c r="E158" s="244"/>
      <c r="F158" s="244"/>
      <c r="G158" s="244"/>
      <c r="H158" s="244"/>
      <c r="I158" s="326"/>
      <c r="J158" s="326"/>
      <c r="K158" s="295"/>
      <c r="L158" s="326"/>
      <c r="M158" s="326"/>
      <c r="N158" s="326"/>
      <c r="O158" s="326"/>
      <c r="P158" s="244"/>
      <c r="Q158" s="244"/>
      <c r="R158" s="244"/>
      <c r="S158" s="244"/>
      <c r="T158" s="244"/>
      <c r="U158" s="244"/>
    </row>
    <row r="159" spans="3:21" ht="13">
      <c r="C159" s="620" t="s">
        <v>130</v>
      </c>
      <c r="D159" s="293"/>
      <c r="E159" s="244"/>
      <c r="F159" s="244"/>
      <c r="G159" s="244"/>
      <c r="H159" s="244"/>
      <c r="I159" s="326"/>
      <c r="J159" s="326"/>
      <c r="K159" s="295"/>
      <c r="L159" s="326"/>
      <c r="M159" s="326"/>
      <c r="N159" s="326"/>
      <c r="O159" s="326"/>
      <c r="P159" s="244"/>
      <c r="Q159" s="244"/>
      <c r="R159" s="244"/>
      <c r="S159" s="244"/>
      <c r="T159" s="244"/>
      <c r="U159" s="244"/>
    </row>
    <row r="160" spans="3:21" ht="13">
      <c r="C160" s="455" t="s">
        <v>76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77</v>
      </c>
      <c r="D161" s="350"/>
      <c r="E161" s="350"/>
      <c r="F161" s="350"/>
      <c r="G161" s="350"/>
      <c r="H161" s="295"/>
      <c r="I161" s="295"/>
      <c r="J161" s="351"/>
      <c r="K161" s="351"/>
      <c r="L161" s="351"/>
      <c r="M161" s="351"/>
      <c r="N161" s="351"/>
      <c r="O161" s="351"/>
      <c r="P161" s="244"/>
      <c r="Q161" s="244"/>
      <c r="R161" s="244"/>
      <c r="S161" s="244"/>
      <c r="T161" s="244"/>
      <c r="U161" s="244"/>
    </row>
    <row r="162" spans="3:21" ht="13">
      <c r="C162" s="576"/>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73">
    <cfRule type="cellIs" dxfId="33" priority="1" stopIfTrue="1" operator="equal">
      <formula>$I$10</formula>
    </cfRule>
  </conditionalFormatting>
  <conditionalFormatting sqref="C100:C155">
    <cfRule type="cellIs" dxfId="32" priority="2" stopIfTrue="1" operator="equal">
      <formula>$J$93</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5"/>
  <dimension ref="A1:U163"/>
  <sheetViews>
    <sheetView view="pageBreakPreview" topLeftCell="A59" zoomScale="85" zoomScaleNormal="100"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15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1428596.2821515901</v>
      </c>
      <c r="P5" s="244"/>
      <c r="R5" s="244"/>
      <c r="S5" s="244"/>
      <c r="T5" s="244"/>
      <c r="U5" s="244"/>
    </row>
    <row r="6" spans="1:21" ht="15.5">
      <c r="C6" s="236"/>
      <c r="D6" s="293"/>
      <c r="E6" s="244"/>
      <c r="F6" s="244"/>
      <c r="G6" s="244"/>
      <c r="H6" s="450"/>
      <c r="I6" s="450"/>
      <c r="J6" s="451"/>
      <c r="K6" s="452" t="s">
        <v>243</v>
      </c>
      <c r="L6" s="453"/>
      <c r="M6" s="279"/>
      <c r="N6" s="454">
        <f>VLOOKUP(I10,C17:I73,6)</f>
        <v>1428596.2821515901</v>
      </c>
      <c r="O6" s="244"/>
      <c r="P6" s="244"/>
      <c r="R6" s="244"/>
      <c r="S6" s="244"/>
      <c r="T6" s="244"/>
      <c r="U6" s="244"/>
    </row>
    <row r="7" spans="1:21" ht="13.5" thickBot="1">
      <c r="C7" s="455" t="s">
        <v>46</v>
      </c>
      <c r="D7" s="456" t="s">
        <v>244</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v>30619</v>
      </c>
      <c r="E9" s="466"/>
      <c r="F9" s="466"/>
      <c r="G9" s="466"/>
      <c r="H9" s="466"/>
      <c r="I9" s="467"/>
      <c r="J9" s="468"/>
      <c r="O9" s="469"/>
      <c r="P9" s="279"/>
      <c r="R9" s="244"/>
      <c r="S9" s="244"/>
      <c r="T9" s="244"/>
      <c r="U9" s="244"/>
    </row>
    <row r="10" spans="1:21" ht="13">
      <c r="C10" s="470" t="s">
        <v>49</v>
      </c>
      <c r="D10" s="471">
        <v>11056565.360000001</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2017</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0.11475877389767174</v>
      </c>
      <c r="J12" s="579"/>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335047.43515151518</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73" si="0">IF(D17=F16,"","IU")</f>
        <v>IU</v>
      </c>
      <c r="C17" s="581">
        <f>IF(D11= "","-",D11)</f>
        <v>2017</v>
      </c>
      <c r="D17" s="613">
        <v>0</v>
      </c>
      <c r="E17" s="621">
        <v>104355.95770200831</v>
      </c>
      <c r="F17" s="613">
        <v>10510644.042297991</v>
      </c>
      <c r="G17" s="621">
        <v>682125.91542676068</v>
      </c>
      <c r="H17" s="618">
        <v>682125.91542676068</v>
      </c>
      <c r="I17" s="501">
        <f>H17-G17</f>
        <v>0</v>
      </c>
      <c r="J17" s="501"/>
      <c r="K17" s="507">
        <f t="shared" ref="K17:K22" si="1">+G17</f>
        <v>682125.91542676068</v>
      </c>
      <c r="L17" s="505">
        <f t="shared" ref="L17:L22" si="2">IF(K17&lt;&gt;0,+G17-K17,0)</f>
        <v>0</v>
      </c>
      <c r="M17" s="507">
        <f t="shared" ref="M17:M22" si="3">+H17</f>
        <v>682125.91542676068</v>
      </c>
      <c r="N17" s="587">
        <f t="shared" ref="N17:N73" si="4">IF(M17&lt;&gt;0,+H17-M17,0)</f>
        <v>0</v>
      </c>
      <c r="O17" s="505">
        <f t="shared" ref="O17:O73" si="5">+N17-L17</f>
        <v>0</v>
      </c>
      <c r="P17" s="279"/>
      <c r="R17" s="244"/>
      <c r="S17" s="244"/>
      <c r="T17" s="244"/>
      <c r="U17" s="244"/>
    </row>
    <row r="18" spans="2:21" ht="12.5">
      <c r="B18" s="145" t="str">
        <f t="shared" si="0"/>
        <v/>
      </c>
      <c r="C18" s="496">
        <f>IF(D11="","-",+C17+1)</f>
        <v>2018</v>
      </c>
      <c r="D18" s="615">
        <v>10510644.042297991</v>
      </c>
      <c r="E18" s="614">
        <v>260328.43725382842</v>
      </c>
      <c r="F18" s="615">
        <v>10250315.605044162</v>
      </c>
      <c r="G18" s="614">
        <v>1315230.681782007</v>
      </c>
      <c r="H18" s="618">
        <v>1315230.681782007</v>
      </c>
      <c r="I18" s="501">
        <f>H18-G18</f>
        <v>0</v>
      </c>
      <c r="J18" s="501"/>
      <c r="K18" s="593">
        <f t="shared" si="1"/>
        <v>1315230.681782007</v>
      </c>
      <c r="L18" s="597">
        <f t="shared" si="2"/>
        <v>0</v>
      </c>
      <c r="M18" s="593">
        <f t="shared" si="3"/>
        <v>1315230.681782007</v>
      </c>
      <c r="N18" s="505">
        <f>IF(M18&lt;&gt;0,+H18-M18,0)</f>
        <v>0</v>
      </c>
      <c r="O18" s="505">
        <f>+N18-L18</f>
        <v>0</v>
      </c>
      <c r="P18" s="279"/>
      <c r="R18" s="244"/>
      <c r="S18" s="244"/>
      <c r="T18" s="244"/>
      <c r="U18" s="244"/>
    </row>
    <row r="19" spans="2:21" ht="12.5">
      <c r="B19" s="145" t="str">
        <f t="shared" si="0"/>
        <v/>
      </c>
      <c r="C19" s="496">
        <f>IF(D11="","-",+C18+1)</f>
        <v>2019</v>
      </c>
      <c r="D19" s="615">
        <v>10250315.605044162</v>
      </c>
      <c r="E19" s="614">
        <v>314828.66007880151</v>
      </c>
      <c r="F19" s="615">
        <v>9935486.9449653607</v>
      </c>
      <c r="G19" s="614">
        <v>1363844.0888504181</v>
      </c>
      <c r="H19" s="618">
        <v>1363844.0888504181</v>
      </c>
      <c r="I19" s="501">
        <f>H19-G19</f>
        <v>0</v>
      </c>
      <c r="J19" s="501"/>
      <c r="K19" s="593">
        <f t="shared" si="1"/>
        <v>1363844.0888504181</v>
      </c>
      <c r="L19" s="597">
        <f t="shared" si="2"/>
        <v>0</v>
      </c>
      <c r="M19" s="593">
        <f t="shared" si="3"/>
        <v>1363844.0888504181</v>
      </c>
      <c r="N19" s="505">
        <f>IF(M19&lt;&gt;0,+H19-M19,0)</f>
        <v>0</v>
      </c>
      <c r="O19" s="505">
        <f>+N19-L19</f>
        <v>0</v>
      </c>
      <c r="P19" s="279"/>
      <c r="R19" s="244"/>
      <c r="S19" s="244"/>
      <c r="T19" s="244"/>
      <c r="U19" s="244"/>
    </row>
    <row r="20" spans="2:21" ht="12.5">
      <c r="B20" s="145" t="str">
        <f t="shared" si="0"/>
        <v>IU</v>
      </c>
      <c r="C20" s="496">
        <f>IF(D11="","-",+C19+1)</f>
        <v>2020</v>
      </c>
      <c r="D20" s="615">
        <v>10431552.167790335</v>
      </c>
      <c r="E20" s="614">
        <v>323755.90908112278</v>
      </c>
      <c r="F20" s="615">
        <v>10107796.258709213</v>
      </c>
      <c r="G20" s="614">
        <v>1401378.1525541013</v>
      </c>
      <c r="H20" s="618">
        <v>1401378.1525541013</v>
      </c>
      <c r="I20" s="501">
        <f>H20-G20</f>
        <v>0</v>
      </c>
      <c r="J20" s="501"/>
      <c r="K20" s="593">
        <f t="shared" si="1"/>
        <v>1401378.1525541013</v>
      </c>
      <c r="L20" s="597">
        <f t="shared" si="2"/>
        <v>0</v>
      </c>
      <c r="M20" s="593">
        <f t="shared" si="3"/>
        <v>1401378.1525541013</v>
      </c>
      <c r="N20" s="505">
        <f t="shared" si="4"/>
        <v>0</v>
      </c>
      <c r="O20" s="505">
        <f t="shared" si="5"/>
        <v>0</v>
      </c>
      <c r="P20" s="279"/>
      <c r="R20" s="244"/>
      <c r="S20" s="244"/>
      <c r="T20" s="244"/>
      <c r="U20" s="244"/>
    </row>
    <row r="21" spans="2:21" ht="12.5">
      <c r="B21" s="145" t="str">
        <f t="shared" si="0"/>
        <v>IU</v>
      </c>
      <c r="C21" s="496">
        <f>IF(D12="","-",+C20+1)</f>
        <v>2021</v>
      </c>
      <c r="D21" s="615">
        <v>10053296.035884239</v>
      </c>
      <c r="E21" s="614">
        <v>356663.38709677418</v>
      </c>
      <c r="F21" s="615">
        <v>9696632.6487874649</v>
      </c>
      <c r="G21" s="614">
        <v>1424987.0679285447</v>
      </c>
      <c r="H21" s="618">
        <v>1424987.0679285447</v>
      </c>
      <c r="I21" s="501">
        <f t="shared" ref="I21:I73" si="6">H21-G21</f>
        <v>0</v>
      </c>
      <c r="J21" s="501"/>
      <c r="K21" s="593">
        <f t="shared" si="1"/>
        <v>1424987.0679285447</v>
      </c>
      <c r="L21" s="597">
        <f t="shared" si="2"/>
        <v>0</v>
      </c>
      <c r="M21" s="593">
        <f t="shared" si="3"/>
        <v>1424987.0679285447</v>
      </c>
      <c r="N21" s="505">
        <f t="shared" si="4"/>
        <v>0</v>
      </c>
      <c r="O21" s="505">
        <f t="shared" si="5"/>
        <v>0</v>
      </c>
      <c r="P21" s="279"/>
      <c r="R21" s="244"/>
      <c r="S21" s="244"/>
      <c r="T21" s="244"/>
      <c r="U21" s="244"/>
    </row>
    <row r="22" spans="2:21" ht="12.5">
      <c r="B22" s="145" t="str">
        <f t="shared" si="0"/>
        <v/>
      </c>
      <c r="C22" s="496">
        <f>IF(D11="","-",+C21+1)</f>
        <v>2022</v>
      </c>
      <c r="D22" s="615">
        <v>9696632.6487874649</v>
      </c>
      <c r="E22" s="614">
        <v>335047.42424242425</v>
      </c>
      <c r="F22" s="615">
        <v>9361585.2245450411</v>
      </c>
      <c r="G22" s="614">
        <v>1428596.2821515901</v>
      </c>
      <c r="H22" s="618">
        <v>1428596.2821515901</v>
      </c>
      <c r="I22" s="501">
        <f t="shared" si="6"/>
        <v>0</v>
      </c>
      <c r="J22" s="501"/>
      <c r="K22" s="593">
        <f t="shared" si="1"/>
        <v>1428596.2821515901</v>
      </c>
      <c r="L22" s="597">
        <f t="shared" si="2"/>
        <v>0</v>
      </c>
      <c r="M22" s="593">
        <f t="shared" si="3"/>
        <v>1428596.2821515901</v>
      </c>
      <c r="N22" s="505">
        <f t="shared" si="4"/>
        <v>0</v>
      </c>
      <c r="O22" s="505">
        <f t="shared" si="5"/>
        <v>0</v>
      </c>
      <c r="P22" s="279"/>
      <c r="R22" s="244"/>
      <c r="S22" s="244"/>
      <c r="T22" s="244"/>
      <c r="U22" s="244"/>
    </row>
    <row r="23" spans="2:21" ht="12.5">
      <c r="B23" s="145" t="str">
        <f t="shared" si="0"/>
        <v>IU</v>
      </c>
      <c r="C23" s="496">
        <f>IF(D11="","-",+C22+1)</f>
        <v>2023</v>
      </c>
      <c r="D23" s="615">
        <v>9361585.5845450424</v>
      </c>
      <c r="E23" s="614">
        <v>356663.39870967745</v>
      </c>
      <c r="F23" s="615">
        <v>9004922.1858353652</v>
      </c>
      <c r="G23" s="614">
        <v>1394672.8038742263</v>
      </c>
      <c r="H23" s="618">
        <v>1394672.8038742263</v>
      </c>
      <c r="I23" s="501">
        <f t="shared" si="6"/>
        <v>0</v>
      </c>
      <c r="J23" s="501"/>
      <c r="K23" s="593">
        <f t="shared" ref="K23" si="7">+G23</f>
        <v>1394672.8038742263</v>
      </c>
      <c r="L23" s="597">
        <f t="shared" ref="L23" si="8">IF(K23&lt;&gt;0,+G23-K23,0)</f>
        <v>0</v>
      </c>
      <c r="M23" s="593">
        <f t="shared" ref="M23" si="9">+H23</f>
        <v>1394672.8038742263</v>
      </c>
      <c r="N23" s="505">
        <f t="shared" si="4"/>
        <v>0</v>
      </c>
      <c r="O23" s="505">
        <f t="shared" si="5"/>
        <v>0</v>
      </c>
      <c r="P23" s="279"/>
      <c r="R23" s="244"/>
      <c r="S23" s="244"/>
      <c r="T23" s="244"/>
      <c r="U23" s="244"/>
    </row>
    <row r="24" spans="2:21" ht="12.5">
      <c r="B24" s="145" t="str">
        <f t="shared" si="0"/>
        <v/>
      </c>
      <c r="C24" s="496">
        <f>IF(D11="","-",+C23+1)</f>
        <v>2024</v>
      </c>
      <c r="D24" s="509">
        <f>IF(F23+SUM(E$17:E23)=D$10,F23,D$10-SUM(E$17:E23))</f>
        <v>9004922.1858353652</v>
      </c>
      <c r="E24" s="510">
        <f t="shared" ref="E24:E40" si="10">IF(+I$14&lt;F23,I$14,D24)</f>
        <v>335047.43515151518</v>
      </c>
      <c r="F24" s="511">
        <f t="shared" ref="F24:F73" si="11">+D24-E24</f>
        <v>8669874.7506838497</v>
      </c>
      <c r="G24" s="512">
        <f t="shared" ref="G24:G73" si="12">(D24+F24)/2*I$12+E24</f>
        <v>1349216.4478141498</v>
      </c>
      <c r="H24" s="478">
        <f t="shared" ref="H24:H73" si="13">+(D24+F24)/2*I$13+E24</f>
        <v>1349216.4478141498</v>
      </c>
      <c r="I24" s="501">
        <f t="shared" si="6"/>
        <v>0</v>
      </c>
      <c r="J24" s="501"/>
      <c r="K24" s="513"/>
      <c r="L24" s="505">
        <f t="shared" ref="L24:L73" si="14">IF(K24&lt;&gt;0,+G24-K24,0)</f>
        <v>0</v>
      </c>
      <c r="M24" s="513"/>
      <c r="N24" s="505">
        <f t="shared" si="4"/>
        <v>0</v>
      </c>
      <c r="O24" s="505">
        <f t="shared" si="5"/>
        <v>0</v>
      </c>
      <c r="P24" s="279"/>
      <c r="R24" s="244"/>
      <c r="S24" s="244"/>
      <c r="T24" s="244"/>
      <c r="U24" s="244"/>
    </row>
    <row r="25" spans="2:21" ht="12.5">
      <c r="B25" s="145" t="str">
        <f t="shared" si="0"/>
        <v/>
      </c>
      <c r="C25" s="496">
        <f>IF(D11="","-",+C24+1)</f>
        <v>2025</v>
      </c>
      <c r="D25" s="509">
        <f>IF(F24+SUM(E$17:E24)=D$10,F24,D$10-SUM(E$17:E24))</f>
        <v>8669874.7506838497</v>
      </c>
      <c r="E25" s="510">
        <f t="shared" si="10"/>
        <v>335047.43515151518</v>
      </c>
      <c r="F25" s="511">
        <f t="shared" si="11"/>
        <v>8334827.3155323341</v>
      </c>
      <c r="G25" s="512">
        <f t="shared" si="12"/>
        <v>1310766.8149586027</v>
      </c>
      <c r="H25" s="478">
        <f t="shared" si="13"/>
        <v>1310766.8149586027</v>
      </c>
      <c r="I25" s="501">
        <f t="shared" si="6"/>
        <v>0</v>
      </c>
      <c r="J25" s="501"/>
      <c r="K25" s="513"/>
      <c r="L25" s="505">
        <f t="shared" si="14"/>
        <v>0</v>
      </c>
      <c r="M25" s="513"/>
      <c r="N25" s="505">
        <f t="shared" si="4"/>
        <v>0</v>
      </c>
      <c r="O25" s="505">
        <f t="shared" si="5"/>
        <v>0</v>
      </c>
      <c r="P25" s="279"/>
      <c r="R25" s="244"/>
      <c r="S25" s="244"/>
      <c r="T25" s="244"/>
      <c r="U25" s="244"/>
    </row>
    <row r="26" spans="2:21" ht="12.5">
      <c r="B26" s="145" t="str">
        <f t="shared" si="0"/>
        <v/>
      </c>
      <c r="C26" s="496">
        <f>IF(D11="","-",+C25+1)</f>
        <v>2026</v>
      </c>
      <c r="D26" s="509">
        <f>IF(F25+SUM(E$17:E25)=D$10,F25,D$10-SUM(E$17:E25))</f>
        <v>8334827.3155323341</v>
      </c>
      <c r="E26" s="510">
        <f t="shared" si="10"/>
        <v>335047.43515151518</v>
      </c>
      <c r="F26" s="511">
        <f t="shared" si="11"/>
        <v>7999779.8803808186</v>
      </c>
      <c r="G26" s="512">
        <f t="shared" si="12"/>
        <v>1272317.1821030548</v>
      </c>
      <c r="H26" s="478">
        <f t="shared" si="13"/>
        <v>1272317.1821030548</v>
      </c>
      <c r="I26" s="501">
        <f t="shared" si="6"/>
        <v>0</v>
      </c>
      <c r="J26" s="501"/>
      <c r="K26" s="513"/>
      <c r="L26" s="505">
        <f t="shared" si="14"/>
        <v>0</v>
      </c>
      <c r="M26" s="513"/>
      <c r="N26" s="505">
        <f t="shared" si="4"/>
        <v>0</v>
      </c>
      <c r="O26" s="505">
        <f t="shared" si="5"/>
        <v>0</v>
      </c>
      <c r="P26" s="279"/>
      <c r="R26" s="244"/>
      <c r="S26" s="244"/>
      <c r="T26" s="244"/>
      <c r="U26" s="244"/>
    </row>
    <row r="27" spans="2:21" ht="12.5">
      <c r="B27" s="145" t="str">
        <f t="shared" si="0"/>
        <v/>
      </c>
      <c r="C27" s="496">
        <f>IF(D11="","-",+C26+1)</f>
        <v>2027</v>
      </c>
      <c r="D27" s="509">
        <f>IF(F26+SUM(E$17:E26)=D$10,F26,D$10-SUM(E$17:E26))</f>
        <v>7999779.8803808186</v>
      </c>
      <c r="E27" s="510">
        <f t="shared" si="10"/>
        <v>335047.43515151518</v>
      </c>
      <c r="F27" s="511">
        <f t="shared" si="11"/>
        <v>7664732.4452293031</v>
      </c>
      <c r="G27" s="512">
        <f t="shared" si="12"/>
        <v>1233867.5492475072</v>
      </c>
      <c r="H27" s="478">
        <f t="shared" si="13"/>
        <v>1233867.5492475072</v>
      </c>
      <c r="I27" s="501">
        <f t="shared" si="6"/>
        <v>0</v>
      </c>
      <c r="J27" s="501"/>
      <c r="K27" s="513"/>
      <c r="L27" s="505">
        <f t="shared" si="14"/>
        <v>0</v>
      </c>
      <c r="M27" s="513"/>
      <c r="N27" s="505">
        <f t="shared" si="4"/>
        <v>0</v>
      </c>
      <c r="O27" s="505">
        <f t="shared" si="5"/>
        <v>0</v>
      </c>
      <c r="P27" s="279"/>
      <c r="R27" s="244"/>
      <c r="S27" s="244"/>
      <c r="T27" s="244"/>
      <c r="U27" s="244"/>
    </row>
    <row r="28" spans="2:21" ht="12.5">
      <c r="B28" s="145" t="str">
        <f t="shared" si="0"/>
        <v/>
      </c>
      <c r="C28" s="496">
        <f>IF(D11="","-",+C27+1)</f>
        <v>2028</v>
      </c>
      <c r="D28" s="509">
        <f>IF(F27+SUM(E$17:E27)=D$10,F27,D$10-SUM(E$17:E27))</f>
        <v>7664732.4452293031</v>
      </c>
      <c r="E28" s="510">
        <f t="shared" si="10"/>
        <v>335047.43515151518</v>
      </c>
      <c r="F28" s="511">
        <f t="shared" si="11"/>
        <v>7329685.0100777876</v>
      </c>
      <c r="G28" s="512">
        <f t="shared" si="12"/>
        <v>1195417.9163919596</v>
      </c>
      <c r="H28" s="478">
        <f t="shared" si="13"/>
        <v>1195417.9163919596</v>
      </c>
      <c r="I28" s="501">
        <f t="shared" si="6"/>
        <v>0</v>
      </c>
      <c r="J28" s="501"/>
      <c r="K28" s="513"/>
      <c r="L28" s="505">
        <f t="shared" si="14"/>
        <v>0</v>
      </c>
      <c r="M28" s="513"/>
      <c r="N28" s="505">
        <f t="shared" si="4"/>
        <v>0</v>
      </c>
      <c r="O28" s="505">
        <f t="shared" si="5"/>
        <v>0</v>
      </c>
      <c r="P28" s="279"/>
      <c r="R28" s="244"/>
      <c r="S28" s="244"/>
      <c r="T28" s="244"/>
      <c r="U28" s="244"/>
    </row>
    <row r="29" spans="2:21" ht="12.5">
      <c r="B29" s="145" t="str">
        <f t="shared" si="0"/>
        <v/>
      </c>
      <c r="C29" s="496">
        <f>IF(D11="","-",+C28+1)</f>
        <v>2029</v>
      </c>
      <c r="D29" s="509">
        <f>IF(F28+SUM(E$17:E28)=D$10,F28,D$10-SUM(E$17:E28))</f>
        <v>7329685.0100777876</v>
      </c>
      <c r="E29" s="510">
        <f t="shared" si="10"/>
        <v>335047.43515151518</v>
      </c>
      <c r="F29" s="511">
        <f t="shared" si="11"/>
        <v>6994637.574926272</v>
      </c>
      <c r="G29" s="512">
        <f t="shared" si="12"/>
        <v>1156968.2835364118</v>
      </c>
      <c r="H29" s="478">
        <f t="shared" si="13"/>
        <v>1156968.2835364118</v>
      </c>
      <c r="I29" s="501">
        <f t="shared" si="6"/>
        <v>0</v>
      </c>
      <c r="J29" s="501"/>
      <c r="K29" s="513"/>
      <c r="L29" s="505">
        <f t="shared" si="14"/>
        <v>0</v>
      </c>
      <c r="M29" s="513"/>
      <c r="N29" s="505">
        <f t="shared" si="4"/>
        <v>0</v>
      </c>
      <c r="O29" s="505">
        <f t="shared" si="5"/>
        <v>0</v>
      </c>
      <c r="P29" s="279"/>
      <c r="R29" s="244"/>
      <c r="S29" s="244"/>
      <c r="T29" s="244"/>
      <c r="U29" s="244"/>
    </row>
    <row r="30" spans="2:21" ht="12.5">
      <c r="B30" s="145" t="str">
        <f t="shared" si="0"/>
        <v/>
      </c>
      <c r="C30" s="496">
        <f>IF(D11="","-",+C29+1)</f>
        <v>2030</v>
      </c>
      <c r="D30" s="509">
        <f>IF(F29+SUM(E$17:E29)=D$10,F29,D$10-SUM(E$17:E29))</f>
        <v>6994637.574926272</v>
      </c>
      <c r="E30" s="510">
        <f t="shared" si="10"/>
        <v>335047.43515151518</v>
      </c>
      <c r="F30" s="511">
        <f t="shared" si="11"/>
        <v>6659590.1397747565</v>
      </c>
      <c r="G30" s="512">
        <f t="shared" si="12"/>
        <v>1118518.6506808642</v>
      </c>
      <c r="H30" s="478">
        <f t="shared" si="13"/>
        <v>1118518.6506808642</v>
      </c>
      <c r="I30" s="501">
        <f t="shared" si="6"/>
        <v>0</v>
      </c>
      <c r="J30" s="501"/>
      <c r="K30" s="513"/>
      <c r="L30" s="505">
        <f t="shared" si="14"/>
        <v>0</v>
      </c>
      <c r="M30" s="513"/>
      <c r="N30" s="505">
        <f t="shared" si="4"/>
        <v>0</v>
      </c>
      <c r="O30" s="505">
        <f t="shared" si="5"/>
        <v>0</v>
      </c>
      <c r="P30" s="279"/>
      <c r="R30" s="244"/>
      <c r="S30" s="244"/>
      <c r="T30" s="244"/>
      <c r="U30" s="244"/>
    </row>
    <row r="31" spans="2:21" ht="12.5">
      <c r="B31" s="145" t="str">
        <f t="shared" si="0"/>
        <v/>
      </c>
      <c r="C31" s="496">
        <f>IF(D11="","-",+C30+1)</f>
        <v>2031</v>
      </c>
      <c r="D31" s="509">
        <f>IF(F30+SUM(E$17:E30)=D$10,F30,D$10-SUM(E$17:E30))</f>
        <v>6659590.1397747565</v>
      </c>
      <c r="E31" s="510">
        <f t="shared" si="10"/>
        <v>335047.43515151518</v>
      </c>
      <c r="F31" s="511">
        <f t="shared" si="11"/>
        <v>6324542.704623241</v>
      </c>
      <c r="G31" s="512">
        <f t="shared" si="12"/>
        <v>1080069.0178253166</v>
      </c>
      <c r="H31" s="478">
        <f t="shared" si="13"/>
        <v>1080069.0178253166</v>
      </c>
      <c r="I31" s="501">
        <f t="shared" si="6"/>
        <v>0</v>
      </c>
      <c r="J31" s="501"/>
      <c r="K31" s="513"/>
      <c r="L31" s="505">
        <f t="shared" si="14"/>
        <v>0</v>
      </c>
      <c r="M31" s="513"/>
      <c r="N31" s="505">
        <f t="shared" si="4"/>
        <v>0</v>
      </c>
      <c r="O31" s="505">
        <f t="shared" si="5"/>
        <v>0</v>
      </c>
      <c r="P31" s="279"/>
      <c r="Q31" s="221"/>
      <c r="R31" s="279"/>
      <c r="S31" s="279"/>
      <c r="T31" s="279"/>
      <c r="U31" s="244"/>
    </row>
    <row r="32" spans="2:21" ht="12.5">
      <c r="B32" s="145" t="str">
        <f t="shared" si="0"/>
        <v/>
      </c>
      <c r="C32" s="496">
        <f>IF(D12="","-",+C31+1)</f>
        <v>2032</v>
      </c>
      <c r="D32" s="509">
        <f>IF(F31+SUM(E$17:E31)=D$10,F31,D$10-SUM(E$17:E31))</f>
        <v>6324542.704623241</v>
      </c>
      <c r="E32" s="510">
        <f t="shared" si="10"/>
        <v>335047.43515151518</v>
      </c>
      <c r="F32" s="511">
        <f>+D32-E32</f>
        <v>5989495.2694717254</v>
      </c>
      <c r="G32" s="512">
        <f t="shared" si="12"/>
        <v>1041619.3849697692</v>
      </c>
      <c r="H32" s="478">
        <f t="shared" si="13"/>
        <v>1041619.3849697692</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2033</v>
      </c>
      <c r="D33" s="509">
        <f>IF(F32+SUM(E$17:E32)=D$10,F32,D$10-SUM(E$17:E32))</f>
        <v>5989495.2694717254</v>
      </c>
      <c r="E33" s="510">
        <f t="shared" si="10"/>
        <v>335047.43515151518</v>
      </c>
      <c r="F33" s="511">
        <f>+D33-E33</f>
        <v>5654447.8343202099</v>
      </c>
      <c r="G33" s="512">
        <f t="shared" si="12"/>
        <v>1003169.7521142216</v>
      </c>
      <c r="H33" s="478">
        <f t="shared" si="13"/>
        <v>1003169.7521142216</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2034</v>
      </c>
      <c r="D34" s="515">
        <f>IF(F33+SUM(E$17:E33)=D$10,F33,D$10-SUM(E$17:E33))</f>
        <v>5654447.8343202099</v>
      </c>
      <c r="E34" s="516">
        <f t="shared" si="10"/>
        <v>335047.43515151518</v>
      </c>
      <c r="F34" s="517">
        <f t="shared" si="11"/>
        <v>5319400.3991686944</v>
      </c>
      <c r="G34" s="512">
        <f t="shared" si="12"/>
        <v>964720.11925867398</v>
      </c>
      <c r="H34" s="478">
        <f t="shared" si="13"/>
        <v>964720.11925867398</v>
      </c>
      <c r="I34" s="520">
        <f t="shared" si="6"/>
        <v>0</v>
      </c>
      <c r="J34" s="520"/>
      <c r="K34" s="521"/>
      <c r="L34" s="522">
        <f t="shared" si="14"/>
        <v>0</v>
      </c>
      <c r="M34" s="521"/>
      <c r="N34" s="522">
        <f t="shared" si="4"/>
        <v>0</v>
      </c>
      <c r="O34" s="522">
        <f t="shared" si="5"/>
        <v>0</v>
      </c>
      <c r="P34" s="523"/>
      <c r="Q34" s="217"/>
      <c r="R34" s="523"/>
      <c r="S34" s="523"/>
      <c r="T34" s="523"/>
      <c r="U34" s="244"/>
    </row>
    <row r="35" spans="2:21" ht="12.5">
      <c r="B35" s="145" t="str">
        <f t="shared" si="0"/>
        <v/>
      </c>
      <c r="C35" s="496">
        <f>IF(D11="","-",+C34+1)</f>
        <v>2035</v>
      </c>
      <c r="D35" s="509">
        <f>IF(F34+SUM(E$17:E34)=D$10,F34,D$10-SUM(E$17:E34))</f>
        <v>5319400.3991686944</v>
      </c>
      <c r="E35" s="510">
        <f t="shared" si="10"/>
        <v>335047.43515151518</v>
      </c>
      <c r="F35" s="511">
        <f t="shared" si="11"/>
        <v>4984352.9640171789</v>
      </c>
      <c r="G35" s="512">
        <f t="shared" si="12"/>
        <v>926270.48640312639</v>
      </c>
      <c r="H35" s="478">
        <f t="shared" si="13"/>
        <v>926270.48640312639</v>
      </c>
      <c r="I35" s="501">
        <f t="shared" si="6"/>
        <v>0</v>
      </c>
      <c r="J35" s="501"/>
      <c r="K35" s="513"/>
      <c r="L35" s="505">
        <f t="shared" si="14"/>
        <v>0</v>
      </c>
      <c r="M35" s="513"/>
      <c r="N35" s="505">
        <f t="shared" si="4"/>
        <v>0</v>
      </c>
      <c r="O35" s="505">
        <f t="shared" si="5"/>
        <v>0</v>
      </c>
      <c r="P35" s="279"/>
      <c r="R35" s="244"/>
      <c r="S35" s="244"/>
      <c r="T35" s="244"/>
      <c r="U35" s="244"/>
    </row>
    <row r="36" spans="2:21" ht="12.5">
      <c r="B36" s="145" t="str">
        <f t="shared" si="0"/>
        <v/>
      </c>
      <c r="C36" s="496">
        <f>IF(D11="","-",+C35+1)</f>
        <v>2036</v>
      </c>
      <c r="D36" s="509">
        <f>IF(F35+SUM(E$17:E35)=D$10,F35,D$10-SUM(E$17:E35))</f>
        <v>4984352.9640171789</v>
      </c>
      <c r="E36" s="510">
        <f t="shared" si="10"/>
        <v>335047.43515151518</v>
      </c>
      <c r="F36" s="511">
        <f t="shared" si="11"/>
        <v>4649305.5288656633</v>
      </c>
      <c r="G36" s="512">
        <f t="shared" si="12"/>
        <v>887820.85354757879</v>
      </c>
      <c r="H36" s="478">
        <f t="shared" si="13"/>
        <v>887820.85354757879</v>
      </c>
      <c r="I36" s="501">
        <f t="shared" si="6"/>
        <v>0</v>
      </c>
      <c r="J36" s="501"/>
      <c r="K36" s="513"/>
      <c r="L36" s="505">
        <f t="shared" si="14"/>
        <v>0</v>
      </c>
      <c r="M36" s="513"/>
      <c r="N36" s="505">
        <f t="shared" si="4"/>
        <v>0</v>
      </c>
      <c r="O36" s="505">
        <f t="shared" si="5"/>
        <v>0</v>
      </c>
      <c r="P36" s="279"/>
      <c r="R36" s="244"/>
      <c r="S36" s="244"/>
      <c r="T36" s="244"/>
      <c r="U36" s="244"/>
    </row>
    <row r="37" spans="2:21" ht="12.5">
      <c r="B37" s="145" t="str">
        <f t="shared" si="0"/>
        <v/>
      </c>
      <c r="C37" s="496">
        <f>IF(D11="","-",+C36+1)</f>
        <v>2037</v>
      </c>
      <c r="D37" s="509">
        <f>IF(F36+SUM(E$17:E36)=D$10,F36,D$10-SUM(E$17:E36))</f>
        <v>4649305.5288656633</v>
      </c>
      <c r="E37" s="510">
        <f t="shared" si="10"/>
        <v>335047.43515151518</v>
      </c>
      <c r="F37" s="511">
        <f t="shared" si="11"/>
        <v>4314258.0937141478</v>
      </c>
      <c r="G37" s="512">
        <f t="shared" si="12"/>
        <v>849371.22069203109</v>
      </c>
      <c r="H37" s="478">
        <f t="shared" si="13"/>
        <v>849371.22069203109</v>
      </c>
      <c r="I37" s="501">
        <f t="shared" si="6"/>
        <v>0</v>
      </c>
      <c r="J37" s="501"/>
      <c r="K37" s="513"/>
      <c r="L37" s="505">
        <f t="shared" si="14"/>
        <v>0</v>
      </c>
      <c r="M37" s="513"/>
      <c r="N37" s="505">
        <f t="shared" si="4"/>
        <v>0</v>
      </c>
      <c r="O37" s="505">
        <f t="shared" si="5"/>
        <v>0</v>
      </c>
      <c r="P37" s="279"/>
      <c r="R37" s="244"/>
      <c r="S37" s="244"/>
      <c r="T37" s="244"/>
      <c r="U37" s="244"/>
    </row>
    <row r="38" spans="2:21" ht="12.5">
      <c r="B38" s="145" t="str">
        <f t="shared" si="0"/>
        <v/>
      </c>
      <c r="C38" s="496">
        <f>IF(D11="","-",+C37+1)</f>
        <v>2038</v>
      </c>
      <c r="D38" s="509">
        <f>IF(F37+SUM(E$17:E37)=D$10,F37,D$10-SUM(E$17:E37))</f>
        <v>4314258.0937141478</v>
      </c>
      <c r="E38" s="510">
        <f t="shared" si="10"/>
        <v>335047.43515151518</v>
      </c>
      <c r="F38" s="511">
        <f t="shared" si="11"/>
        <v>3979210.6585626327</v>
      </c>
      <c r="G38" s="512">
        <f t="shared" si="12"/>
        <v>810921.58783648349</v>
      </c>
      <c r="H38" s="478">
        <f t="shared" si="13"/>
        <v>810921.58783648349</v>
      </c>
      <c r="I38" s="501">
        <f t="shared" si="6"/>
        <v>0</v>
      </c>
      <c r="J38" s="501"/>
      <c r="K38" s="513"/>
      <c r="L38" s="505">
        <f t="shared" si="14"/>
        <v>0</v>
      </c>
      <c r="M38" s="513"/>
      <c r="N38" s="505">
        <f t="shared" si="4"/>
        <v>0</v>
      </c>
      <c r="O38" s="505">
        <f t="shared" si="5"/>
        <v>0</v>
      </c>
      <c r="P38" s="279"/>
      <c r="R38" s="244"/>
      <c r="S38" s="244"/>
      <c r="T38" s="244"/>
      <c r="U38" s="244"/>
    </row>
    <row r="39" spans="2:21" ht="12.5">
      <c r="B39" s="145" t="str">
        <f t="shared" si="0"/>
        <v/>
      </c>
      <c r="C39" s="496">
        <f>IF(D11="","-",+C38+1)</f>
        <v>2039</v>
      </c>
      <c r="D39" s="509">
        <f>IF(F38+SUM(E$17:E38)=D$10,F38,D$10-SUM(E$17:E38))</f>
        <v>3979210.6585626327</v>
      </c>
      <c r="E39" s="510">
        <f t="shared" si="10"/>
        <v>335047.43515151518</v>
      </c>
      <c r="F39" s="511">
        <f t="shared" si="11"/>
        <v>3644163.2234111177</v>
      </c>
      <c r="G39" s="512">
        <f t="shared" si="12"/>
        <v>772471.95498093613</v>
      </c>
      <c r="H39" s="478">
        <f t="shared" si="13"/>
        <v>772471.95498093613</v>
      </c>
      <c r="I39" s="501">
        <f t="shared" si="6"/>
        <v>0</v>
      </c>
      <c r="J39" s="501"/>
      <c r="K39" s="513"/>
      <c r="L39" s="505">
        <f t="shared" si="14"/>
        <v>0</v>
      </c>
      <c r="M39" s="513"/>
      <c r="N39" s="505">
        <f t="shared" si="4"/>
        <v>0</v>
      </c>
      <c r="O39" s="505">
        <f t="shared" si="5"/>
        <v>0</v>
      </c>
      <c r="P39" s="279"/>
      <c r="R39" s="244"/>
      <c r="S39" s="244"/>
      <c r="T39" s="244"/>
      <c r="U39" s="244"/>
    </row>
    <row r="40" spans="2:21" ht="12.5">
      <c r="B40" s="145" t="str">
        <f t="shared" si="0"/>
        <v/>
      </c>
      <c r="C40" s="496">
        <f>IF(D11="","-",+C39+1)</f>
        <v>2040</v>
      </c>
      <c r="D40" s="509">
        <f>IF(F39+SUM(E$17:E39)=D$10,F39,D$10-SUM(E$17:E39))</f>
        <v>3644163.2234111177</v>
      </c>
      <c r="E40" s="510">
        <f t="shared" si="10"/>
        <v>335047.43515151518</v>
      </c>
      <c r="F40" s="511">
        <f t="shared" si="11"/>
        <v>3309115.7882596026</v>
      </c>
      <c r="G40" s="512">
        <f t="shared" si="12"/>
        <v>734022.32212538843</v>
      </c>
      <c r="H40" s="478">
        <f t="shared" si="13"/>
        <v>734022.32212538843</v>
      </c>
      <c r="I40" s="501">
        <f t="shared" si="6"/>
        <v>0</v>
      </c>
      <c r="J40" s="501"/>
      <c r="K40" s="513"/>
      <c r="L40" s="505">
        <f t="shared" si="14"/>
        <v>0</v>
      </c>
      <c r="M40" s="513"/>
      <c r="N40" s="505">
        <f t="shared" si="4"/>
        <v>0</v>
      </c>
      <c r="O40" s="505">
        <f t="shared" si="5"/>
        <v>0</v>
      </c>
      <c r="P40" s="279"/>
      <c r="R40" s="244"/>
      <c r="S40" s="244"/>
      <c r="T40" s="244"/>
      <c r="U40" s="244"/>
    </row>
    <row r="41" spans="2:21" ht="12.5">
      <c r="B41" s="145" t="str">
        <f t="shared" si="0"/>
        <v/>
      </c>
      <c r="C41" s="496">
        <f>IF(D12="","-",+C40+1)</f>
        <v>2041</v>
      </c>
      <c r="D41" s="509">
        <f>IF(F40+SUM(E$17:E40)=D$10,F40,D$10-SUM(E$17:E40))</f>
        <v>3309115.7882596026</v>
      </c>
      <c r="E41" s="510">
        <f t="shared" ref="E41:E73" si="15">IF(+I$14&lt;F40,I$14,D41)</f>
        <v>335047.43515151518</v>
      </c>
      <c r="F41" s="511">
        <f>+D41-E41</f>
        <v>2974068.3531080876</v>
      </c>
      <c r="G41" s="512">
        <f t="shared" si="12"/>
        <v>695572.68926984095</v>
      </c>
      <c r="H41" s="478">
        <f t="shared" si="13"/>
        <v>695572.68926984095</v>
      </c>
      <c r="I41" s="501">
        <f>H41-G41</f>
        <v>0</v>
      </c>
      <c r="J41" s="501"/>
      <c r="K41" s="513"/>
      <c r="L41" s="505">
        <f>IF(K41&lt;&gt;0,+G41-K41,0)</f>
        <v>0</v>
      </c>
      <c r="M41" s="513"/>
      <c r="N41" s="505">
        <f>IF(M41&lt;&gt;0,+H41-M41,0)</f>
        <v>0</v>
      </c>
      <c r="O41" s="505">
        <f>+N41-L41</f>
        <v>0</v>
      </c>
      <c r="P41" s="279"/>
      <c r="R41" s="244"/>
      <c r="S41" s="244"/>
      <c r="T41" s="244"/>
      <c r="U41" s="244"/>
    </row>
    <row r="42" spans="2:21" ht="12.5">
      <c r="B42" s="145" t="str">
        <f t="shared" si="0"/>
        <v/>
      </c>
      <c r="C42" s="496">
        <f>IF(D13="","-",+C41+1)</f>
        <v>2042</v>
      </c>
      <c r="D42" s="509">
        <f>IF(F41+SUM(E$17:E41)=D$10,F41,D$10-SUM(E$17:E41))</f>
        <v>2974068.3531080876</v>
      </c>
      <c r="E42" s="510">
        <f t="shared" si="15"/>
        <v>335047.43515151518</v>
      </c>
      <c r="F42" s="511">
        <f>+D42-E42</f>
        <v>2639020.9179565725</v>
      </c>
      <c r="G42" s="512">
        <f t="shared" si="12"/>
        <v>657123.05641429336</v>
      </c>
      <c r="H42" s="478">
        <f t="shared" si="13"/>
        <v>657123.05641429336</v>
      </c>
      <c r="I42" s="501">
        <f>H42-G42</f>
        <v>0</v>
      </c>
      <c r="J42" s="501"/>
      <c r="K42" s="513"/>
      <c r="L42" s="505">
        <f>IF(K42&lt;&gt;0,+G42-K42,0)</f>
        <v>0</v>
      </c>
      <c r="M42" s="513"/>
      <c r="N42" s="505">
        <f>IF(M42&lt;&gt;0,+H42-M42,0)</f>
        <v>0</v>
      </c>
      <c r="O42" s="505">
        <f>+N42-L42</f>
        <v>0</v>
      </c>
      <c r="P42" s="279"/>
      <c r="R42" s="244"/>
      <c r="S42" s="244"/>
      <c r="T42" s="244"/>
      <c r="U42" s="244"/>
    </row>
    <row r="43" spans="2:21" ht="12.5">
      <c r="B43" s="145" t="str">
        <f t="shared" si="0"/>
        <v/>
      </c>
      <c r="C43" s="496">
        <f>IF(D14="","-",+C42+1)</f>
        <v>2043</v>
      </c>
      <c r="D43" s="509">
        <f>IF(F42+SUM(E$17:E42)=D$10,F42,D$10-SUM(E$17:E42))</f>
        <v>2639020.9179565725</v>
      </c>
      <c r="E43" s="510">
        <f t="shared" si="15"/>
        <v>335047.43515151518</v>
      </c>
      <c r="F43" s="511">
        <f>+D43-E43</f>
        <v>2303973.4828050574</v>
      </c>
      <c r="G43" s="512">
        <f t="shared" si="12"/>
        <v>618673.42355874577</v>
      </c>
      <c r="H43" s="478">
        <f t="shared" si="13"/>
        <v>618673.42355874577</v>
      </c>
      <c r="I43" s="501">
        <f>H43-G43</f>
        <v>0</v>
      </c>
      <c r="J43" s="501"/>
      <c r="K43" s="513"/>
      <c r="L43" s="505">
        <f>IF(K43&lt;&gt;0,+G43-K43,0)</f>
        <v>0</v>
      </c>
      <c r="M43" s="513"/>
      <c r="N43" s="505">
        <f>IF(M43&lt;&gt;0,+H43-M43,0)</f>
        <v>0</v>
      </c>
      <c r="O43" s="505">
        <f>+N43-L43</f>
        <v>0</v>
      </c>
      <c r="P43" s="279"/>
      <c r="R43" s="244"/>
      <c r="S43" s="244"/>
      <c r="T43" s="244"/>
      <c r="U43" s="244"/>
    </row>
    <row r="44" spans="2:21" ht="12.5">
      <c r="B44" s="145" t="str">
        <f t="shared" si="0"/>
        <v/>
      </c>
      <c r="C44" s="496">
        <f>IF(D11="","-",+C43+1)</f>
        <v>2044</v>
      </c>
      <c r="D44" s="509">
        <f>IF(F43+SUM(E$17:E43)=D$10,F43,D$10-SUM(E$17:E43))</f>
        <v>2303973.4828050574</v>
      </c>
      <c r="E44" s="510">
        <f t="shared" si="15"/>
        <v>335047.43515151518</v>
      </c>
      <c r="F44" s="511">
        <f t="shared" si="11"/>
        <v>1968926.0476535424</v>
      </c>
      <c r="G44" s="512">
        <f t="shared" si="12"/>
        <v>580223.79070319817</v>
      </c>
      <c r="H44" s="478">
        <f t="shared" si="13"/>
        <v>580223.79070319817</v>
      </c>
      <c r="I44" s="501">
        <f t="shared" si="6"/>
        <v>0</v>
      </c>
      <c r="J44" s="501"/>
      <c r="K44" s="513"/>
      <c r="L44" s="505">
        <f t="shared" si="14"/>
        <v>0</v>
      </c>
      <c r="M44" s="513"/>
      <c r="N44" s="505">
        <f t="shared" si="4"/>
        <v>0</v>
      </c>
      <c r="O44" s="505">
        <f t="shared" si="5"/>
        <v>0</v>
      </c>
      <c r="P44" s="279"/>
      <c r="R44" s="244"/>
      <c r="S44" s="244"/>
      <c r="T44" s="244"/>
      <c r="U44" s="244"/>
    </row>
    <row r="45" spans="2:21" ht="12.5">
      <c r="B45" s="145" t="str">
        <f t="shared" si="0"/>
        <v/>
      </c>
      <c r="C45" s="496">
        <f>IF(D11="","-",+C44+1)</f>
        <v>2045</v>
      </c>
      <c r="D45" s="509">
        <f>IF(F44+SUM(E$17:E44)=D$10,F44,D$10-SUM(E$17:E44))</f>
        <v>1968926.0476535424</v>
      </c>
      <c r="E45" s="510">
        <f t="shared" si="15"/>
        <v>335047.43515151518</v>
      </c>
      <c r="F45" s="511">
        <f t="shared" si="11"/>
        <v>1633878.6125020273</v>
      </c>
      <c r="G45" s="512">
        <f t="shared" si="12"/>
        <v>541774.1578476507</v>
      </c>
      <c r="H45" s="478">
        <f t="shared" si="13"/>
        <v>541774.1578476507</v>
      </c>
      <c r="I45" s="501">
        <f t="shared" si="6"/>
        <v>0</v>
      </c>
      <c r="J45" s="501"/>
      <c r="K45" s="513"/>
      <c r="L45" s="505">
        <f t="shared" si="14"/>
        <v>0</v>
      </c>
      <c r="M45" s="513"/>
      <c r="N45" s="505">
        <f t="shared" si="4"/>
        <v>0</v>
      </c>
      <c r="O45" s="505">
        <f t="shared" si="5"/>
        <v>0</v>
      </c>
      <c r="P45" s="279"/>
      <c r="R45" s="244"/>
      <c r="S45" s="244"/>
      <c r="T45" s="244"/>
      <c r="U45" s="244"/>
    </row>
    <row r="46" spans="2:21" ht="12.5">
      <c r="B46" s="145" t="str">
        <f t="shared" si="0"/>
        <v/>
      </c>
      <c r="C46" s="496">
        <f>IF(D11="","-",+C45+1)</f>
        <v>2046</v>
      </c>
      <c r="D46" s="509">
        <f>IF(F45+SUM(E$17:E45)=D$10,F45,D$10-SUM(E$17:E45))</f>
        <v>1633878.6125020273</v>
      </c>
      <c r="E46" s="510">
        <f t="shared" si="15"/>
        <v>335047.43515151518</v>
      </c>
      <c r="F46" s="511">
        <f t="shared" si="11"/>
        <v>1298831.1773505122</v>
      </c>
      <c r="G46" s="512">
        <f t="shared" si="12"/>
        <v>503324.52499210316</v>
      </c>
      <c r="H46" s="478">
        <f t="shared" si="13"/>
        <v>503324.52499210316</v>
      </c>
      <c r="I46" s="501">
        <f t="shared" si="6"/>
        <v>0</v>
      </c>
      <c r="J46" s="501"/>
      <c r="K46" s="513"/>
      <c r="L46" s="505">
        <f t="shared" si="14"/>
        <v>0</v>
      </c>
      <c r="M46" s="513"/>
      <c r="N46" s="505">
        <f t="shared" si="4"/>
        <v>0</v>
      </c>
      <c r="O46" s="505">
        <f t="shared" si="5"/>
        <v>0</v>
      </c>
      <c r="P46" s="279"/>
      <c r="R46" s="244"/>
      <c r="S46" s="244"/>
      <c r="T46" s="244"/>
      <c r="U46" s="244"/>
    </row>
    <row r="47" spans="2:21" ht="12.5">
      <c r="B47" s="145" t="str">
        <f t="shared" si="0"/>
        <v/>
      </c>
      <c r="C47" s="496">
        <f>IF(D11="","-",+C46+1)</f>
        <v>2047</v>
      </c>
      <c r="D47" s="509">
        <f>IF(F46+SUM(E$17:E46)=D$10,F46,D$10-SUM(E$17:E46))</f>
        <v>1298831.1773505122</v>
      </c>
      <c r="E47" s="510">
        <f t="shared" si="15"/>
        <v>335047.43515151518</v>
      </c>
      <c r="F47" s="511">
        <f t="shared" si="11"/>
        <v>963783.74219899706</v>
      </c>
      <c r="G47" s="512">
        <f t="shared" si="12"/>
        <v>464874.89213655563</v>
      </c>
      <c r="H47" s="478">
        <f t="shared" si="13"/>
        <v>464874.89213655563</v>
      </c>
      <c r="I47" s="501">
        <f t="shared" si="6"/>
        <v>0</v>
      </c>
      <c r="J47" s="501"/>
      <c r="K47" s="513"/>
      <c r="L47" s="505">
        <f t="shared" si="14"/>
        <v>0</v>
      </c>
      <c r="M47" s="513"/>
      <c r="N47" s="505">
        <f t="shared" si="4"/>
        <v>0</v>
      </c>
      <c r="O47" s="505">
        <f t="shared" si="5"/>
        <v>0</v>
      </c>
      <c r="P47" s="279"/>
      <c r="R47" s="244"/>
      <c r="S47" s="244"/>
      <c r="T47" s="244"/>
      <c r="U47" s="244"/>
    </row>
    <row r="48" spans="2:21" ht="12.5">
      <c r="B48" s="145" t="str">
        <f t="shared" si="0"/>
        <v/>
      </c>
      <c r="C48" s="496">
        <f>IF(D11="","-",+C47+1)</f>
        <v>2048</v>
      </c>
      <c r="D48" s="509">
        <f>IF(F47+SUM(E$17:E47)=D$10,F47,D$10-SUM(E$17:E47))</f>
        <v>963783.74219899706</v>
      </c>
      <c r="E48" s="510">
        <f t="shared" si="15"/>
        <v>335047.43515151518</v>
      </c>
      <c r="F48" s="511">
        <f t="shared" si="11"/>
        <v>628736.30704748188</v>
      </c>
      <c r="G48" s="512">
        <f t="shared" si="12"/>
        <v>426425.25928100804</v>
      </c>
      <c r="H48" s="478">
        <f t="shared" si="13"/>
        <v>426425.25928100804</v>
      </c>
      <c r="I48" s="501">
        <f t="shared" si="6"/>
        <v>0</v>
      </c>
      <c r="J48" s="501"/>
      <c r="K48" s="513"/>
      <c r="L48" s="505">
        <f t="shared" si="14"/>
        <v>0</v>
      </c>
      <c r="M48" s="513"/>
      <c r="N48" s="505">
        <f t="shared" si="4"/>
        <v>0</v>
      </c>
      <c r="O48" s="505">
        <f t="shared" si="5"/>
        <v>0</v>
      </c>
      <c r="P48" s="279"/>
      <c r="R48" s="244"/>
      <c r="S48" s="244"/>
      <c r="T48" s="244"/>
      <c r="U48" s="244"/>
    </row>
    <row r="49" spans="2:21" ht="12.5">
      <c r="B49" s="145" t="str">
        <f t="shared" si="0"/>
        <v/>
      </c>
      <c r="C49" s="496">
        <f>IF(D11="","-",+C48+1)</f>
        <v>2049</v>
      </c>
      <c r="D49" s="509">
        <f>IF(F48+SUM(E$17:E48)=D$10,F48,D$10-SUM(E$17:E48))</f>
        <v>628736.30704748188</v>
      </c>
      <c r="E49" s="510">
        <f t="shared" si="15"/>
        <v>335047.43515151518</v>
      </c>
      <c r="F49" s="511">
        <f t="shared" si="11"/>
        <v>293688.8718959667</v>
      </c>
      <c r="G49" s="512">
        <f t="shared" si="12"/>
        <v>387975.6264254605</v>
      </c>
      <c r="H49" s="478">
        <f t="shared" si="13"/>
        <v>387975.6264254605</v>
      </c>
      <c r="I49" s="501">
        <f t="shared" si="6"/>
        <v>0</v>
      </c>
      <c r="J49" s="501"/>
      <c r="K49" s="513"/>
      <c r="L49" s="505">
        <f t="shared" si="14"/>
        <v>0</v>
      </c>
      <c r="M49" s="513"/>
      <c r="N49" s="505">
        <f t="shared" si="4"/>
        <v>0</v>
      </c>
      <c r="O49" s="505">
        <f t="shared" si="5"/>
        <v>0</v>
      </c>
      <c r="P49" s="279"/>
      <c r="R49" s="244"/>
      <c r="S49" s="244"/>
      <c r="T49" s="244"/>
      <c r="U49" s="244"/>
    </row>
    <row r="50" spans="2:21" ht="12.5">
      <c r="B50" s="145" t="str">
        <f t="shared" si="0"/>
        <v/>
      </c>
      <c r="C50" s="496">
        <f>IF(D11="","-",+C49+1)</f>
        <v>2050</v>
      </c>
      <c r="D50" s="509">
        <f>IF(F49+SUM(E$17:E49)=D$10,F49,D$10-SUM(E$17:E49))</f>
        <v>293688.8718959667</v>
      </c>
      <c r="E50" s="510">
        <f t="shared" si="15"/>
        <v>293688.8718959667</v>
      </c>
      <c r="F50" s="511">
        <f t="shared" si="11"/>
        <v>0</v>
      </c>
      <c r="G50" s="512">
        <f t="shared" si="12"/>
        <v>310540.55931905244</v>
      </c>
      <c r="H50" s="478">
        <f t="shared" si="13"/>
        <v>310540.55931905244</v>
      </c>
      <c r="I50" s="501">
        <f t="shared" si="6"/>
        <v>0</v>
      </c>
      <c r="J50" s="501"/>
      <c r="K50" s="513"/>
      <c r="L50" s="505">
        <f t="shared" si="14"/>
        <v>0</v>
      </c>
      <c r="M50" s="513"/>
      <c r="N50" s="505">
        <f t="shared" si="4"/>
        <v>0</v>
      </c>
      <c r="O50" s="505">
        <f t="shared" si="5"/>
        <v>0</v>
      </c>
      <c r="P50" s="279"/>
      <c r="R50" s="244"/>
      <c r="S50" s="244"/>
      <c r="T50" s="244"/>
      <c r="U50" s="244"/>
    </row>
    <row r="51" spans="2:21" ht="12.5">
      <c r="B51" s="145" t="str">
        <f t="shared" si="0"/>
        <v/>
      </c>
      <c r="C51" s="496">
        <f>IF(D11="","-",+C50+1)</f>
        <v>2051</v>
      </c>
      <c r="D51" s="509">
        <f>IF(F50+SUM(E$17:E50)=D$10,F50,D$10-SUM(E$17:E50))</f>
        <v>0</v>
      </c>
      <c r="E51" s="510">
        <f t="shared" si="15"/>
        <v>0</v>
      </c>
      <c r="F51" s="511">
        <f t="shared" si="11"/>
        <v>0</v>
      </c>
      <c r="G51" s="512">
        <f t="shared" si="12"/>
        <v>0</v>
      </c>
      <c r="H51" s="478">
        <f t="shared" si="13"/>
        <v>0</v>
      </c>
      <c r="I51" s="501">
        <f t="shared" si="6"/>
        <v>0</v>
      </c>
      <c r="J51" s="501"/>
      <c r="K51" s="513"/>
      <c r="L51" s="505">
        <f t="shared" si="14"/>
        <v>0</v>
      </c>
      <c r="M51" s="513"/>
      <c r="N51" s="505">
        <f t="shared" si="4"/>
        <v>0</v>
      </c>
      <c r="O51" s="505">
        <f t="shared" si="5"/>
        <v>0</v>
      </c>
      <c r="P51" s="279"/>
      <c r="R51" s="244"/>
      <c r="S51" s="244"/>
      <c r="T51" s="244"/>
      <c r="U51" s="244"/>
    </row>
    <row r="52" spans="2:21" ht="12.5">
      <c r="B52" s="145" t="str">
        <f t="shared" si="0"/>
        <v/>
      </c>
      <c r="C52" s="496">
        <f>IF(D11="","-",+C51+1)</f>
        <v>2052</v>
      </c>
      <c r="D52" s="509">
        <f>IF(F51+SUM(E$17:E51)=D$10,F51,D$10-SUM(E$17:E51))</f>
        <v>0</v>
      </c>
      <c r="E52" s="510">
        <f t="shared" si="15"/>
        <v>0</v>
      </c>
      <c r="F52" s="511">
        <f t="shared" si="11"/>
        <v>0</v>
      </c>
      <c r="G52" s="512">
        <f t="shared" si="12"/>
        <v>0</v>
      </c>
      <c r="H52" s="478">
        <f t="shared" si="13"/>
        <v>0</v>
      </c>
      <c r="I52" s="501">
        <f t="shared" si="6"/>
        <v>0</v>
      </c>
      <c r="J52" s="501"/>
      <c r="K52" s="513"/>
      <c r="L52" s="505">
        <f t="shared" si="14"/>
        <v>0</v>
      </c>
      <c r="M52" s="513"/>
      <c r="N52" s="505">
        <f t="shared" si="4"/>
        <v>0</v>
      </c>
      <c r="O52" s="505">
        <f t="shared" si="5"/>
        <v>0</v>
      </c>
      <c r="P52" s="279"/>
      <c r="R52" s="244"/>
      <c r="S52" s="244"/>
      <c r="T52" s="244"/>
      <c r="U52" s="244"/>
    </row>
    <row r="53" spans="2:21" ht="12.5">
      <c r="B53" s="145" t="str">
        <f t="shared" si="0"/>
        <v/>
      </c>
      <c r="C53" s="496">
        <f>IF(D11="","-",+C52+1)</f>
        <v>2053</v>
      </c>
      <c r="D53" s="509">
        <f>IF(F52+SUM(E$17:E52)=D$10,F52,D$10-SUM(E$17:E52))</f>
        <v>0</v>
      </c>
      <c r="E53" s="510">
        <f t="shared" si="15"/>
        <v>0</v>
      </c>
      <c r="F53" s="511">
        <f t="shared" si="11"/>
        <v>0</v>
      </c>
      <c r="G53" s="512">
        <f t="shared" si="12"/>
        <v>0</v>
      </c>
      <c r="H53" s="478">
        <f t="shared" si="13"/>
        <v>0</v>
      </c>
      <c r="I53" s="501">
        <f t="shared" si="6"/>
        <v>0</v>
      </c>
      <c r="J53" s="501"/>
      <c r="K53" s="513"/>
      <c r="L53" s="505">
        <f t="shared" si="14"/>
        <v>0</v>
      </c>
      <c r="M53" s="513"/>
      <c r="N53" s="505">
        <f t="shared" si="4"/>
        <v>0</v>
      </c>
      <c r="O53" s="505">
        <f t="shared" si="5"/>
        <v>0</v>
      </c>
      <c r="P53" s="279"/>
      <c r="R53" s="244"/>
      <c r="S53" s="244"/>
      <c r="T53" s="244"/>
      <c r="U53" s="244"/>
    </row>
    <row r="54" spans="2:21" ht="12.5">
      <c r="B54" s="145" t="str">
        <f t="shared" si="0"/>
        <v/>
      </c>
      <c r="C54" s="496">
        <f>IF(D11="","-",+C53+1)</f>
        <v>2054</v>
      </c>
      <c r="D54" s="509">
        <f>IF(F53+SUM(E$17:E53)=D$10,F53,D$10-SUM(E$17:E53))</f>
        <v>0</v>
      </c>
      <c r="E54" s="510">
        <f t="shared" si="15"/>
        <v>0</v>
      </c>
      <c r="F54" s="511">
        <f t="shared" si="11"/>
        <v>0</v>
      </c>
      <c r="G54" s="512">
        <f t="shared" si="12"/>
        <v>0</v>
      </c>
      <c r="H54" s="478">
        <f t="shared" si="13"/>
        <v>0</v>
      </c>
      <c r="I54" s="501">
        <f t="shared" si="6"/>
        <v>0</v>
      </c>
      <c r="J54" s="501"/>
      <c r="K54" s="513"/>
      <c r="L54" s="505">
        <f t="shared" si="14"/>
        <v>0</v>
      </c>
      <c r="M54" s="513"/>
      <c r="N54" s="505">
        <f t="shared" si="4"/>
        <v>0</v>
      </c>
      <c r="O54" s="505">
        <f t="shared" si="5"/>
        <v>0</v>
      </c>
      <c r="P54" s="279"/>
      <c r="R54" s="244"/>
      <c r="S54" s="244"/>
      <c r="T54" s="244"/>
      <c r="U54" s="244"/>
    </row>
    <row r="55" spans="2:21" ht="12.5">
      <c r="B55" s="145" t="str">
        <f t="shared" si="0"/>
        <v/>
      </c>
      <c r="C55" s="496">
        <f>IF(D11="","-",+C54+1)</f>
        <v>2055</v>
      </c>
      <c r="D55" s="509">
        <f>IF(F54+SUM(E$17:E54)=D$10,F54,D$10-SUM(E$17:E54))</f>
        <v>0</v>
      </c>
      <c r="E55" s="510">
        <f t="shared" si="15"/>
        <v>0</v>
      </c>
      <c r="F55" s="511">
        <f t="shared" si="11"/>
        <v>0</v>
      </c>
      <c r="G55" s="512">
        <f t="shared" si="12"/>
        <v>0</v>
      </c>
      <c r="H55" s="478">
        <f t="shared" si="13"/>
        <v>0</v>
      </c>
      <c r="I55" s="501">
        <f t="shared" si="6"/>
        <v>0</v>
      </c>
      <c r="J55" s="501"/>
      <c r="K55" s="513"/>
      <c r="L55" s="505">
        <f t="shared" si="14"/>
        <v>0</v>
      </c>
      <c r="M55" s="513"/>
      <c r="N55" s="505">
        <f t="shared" si="4"/>
        <v>0</v>
      </c>
      <c r="O55" s="505">
        <f t="shared" si="5"/>
        <v>0</v>
      </c>
      <c r="P55" s="279"/>
      <c r="R55" s="244"/>
      <c r="S55" s="244"/>
      <c r="T55" s="244"/>
      <c r="U55" s="244"/>
    </row>
    <row r="56" spans="2:21" ht="12.5">
      <c r="B56" s="145" t="str">
        <f t="shared" si="0"/>
        <v/>
      </c>
      <c r="C56" s="496">
        <f>IF(D11="","-",+C55+1)</f>
        <v>2056</v>
      </c>
      <c r="D56" s="509">
        <f>IF(F55+SUM(E$17:E55)=D$10,F55,D$10-SUM(E$17:E55))</f>
        <v>0</v>
      </c>
      <c r="E56" s="510">
        <f t="shared" si="15"/>
        <v>0</v>
      </c>
      <c r="F56" s="511">
        <f t="shared" si="11"/>
        <v>0</v>
      </c>
      <c r="G56" s="512">
        <f t="shared" si="12"/>
        <v>0</v>
      </c>
      <c r="H56" s="478">
        <f t="shared" si="13"/>
        <v>0</v>
      </c>
      <c r="I56" s="501">
        <f t="shared" si="6"/>
        <v>0</v>
      </c>
      <c r="J56" s="501"/>
      <c r="K56" s="513"/>
      <c r="L56" s="505">
        <f t="shared" si="14"/>
        <v>0</v>
      </c>
      <c r="M56" s="513"/>
      <c r="N56" s="505">
        <f t="shared" si="4"/>
        <v>0</v>
      </c>
      <c r="O56" s="505">
        <f t="shared" si="5"/>
        <v>0</v>
      </c>
      <c r="P56" s="279"/>
      <c r="R56" s="244"/>
      <c r="S56" s="244"/>
      <c r="T56" s="244"/>
      <c r="U56" s="244"/>
    </row>
    <row r="57" spans="2:21" ht="12.5">
      <c r="B57" s="145" t="str">
        <f t="shared" si="0"/>
        <v/>
      </c>
      <c r="C57" s="496">
        <f>IF(D11="","-",+C56+1)</f>
        <v>2057</v>
      </c>
      <c r="D57" s="509">
        <f>IF(F56+SUM(E$17:E56)=D$10,F56,D$10-SUM(E$17:E56))</f>
        <v>0</v>
      </c>
      <c r="E57" s="510">
        <f t="shared" si="15"/>
        <v>0</v>
      </c>
      <c r="F57" s="511">
        <f t="shared" si="11"/>
        <v>0</v>
      </c>
      <c r="G57" s="512">
        <f t="shared" si="12"/>
        <v>0</v>
      </c>
      <c r="H57" s="478">
        <f t="shared" si="13"/>
        <v>0</v>
      </c>
      <c r="I57" s="501">
        <f t="shared" si="6"/>
        <v>0</v>
      </c>
      <c r="J57" s="501"/>
      <c r="K57" s="513"/>
      <c r="L57" s="505">
        <f t="shared" si="14"/>
        <v>0</v>
      </c>
      <c r="M57" s="513"/>
      <c r="N57" s="505">
        <f t="shared" si="4"/>
        <v>0</v>
      </c>
      <c r="O57" s="505">
        <f t="shared" si="5"/>
        <v>0</v>
      </c>
      <c r="P57" s="279"/>
      <c r="R57" s="244"/>
      <c r="S57" s="244"/>
      <c r="T57" s="244"/>
      <c r="U57" s="244"/>
    </row>
    <row r="58" spans="2:21" ht="12.5">
      <c r="B58" s="145" t="str">
        <f t="shared" si="0"/>
        <v/>
      </c>
      <c r="C58" s="496">
        <f>IF(D11="","-",+C57+1)</f>
        <v>2058</v>
      </c>
      <c r="D58" s="509">
        <f>IF(F57+SUM(E$17:E57)=D$10,F57,D$10-SUM(E$17:E57))</f>
        <v>0</v>
      </c>
      <c r="E58" s="510">
        <f t="shared" si="15"/>
        <v>0</v>
      </c>
      <c r="F58" s="511">
        <f t="shared" si="11"/>
        <v>0</v>
      </c>
      <c r="G58" s="512">
        <f t="shared" si="12"/>
        <v>0</v>
      </c>
      <c r="H58" s="478">
        <f t="shared" si="13"/>
        <v>0</v>
      </c>
      <c r="I58" s="501">
        <f t="shared" si="6"/>
        <v>0</v>
      </c>
      <c r="J58" s="501"/>
      <c r="K58" s="513"/>
      <c r="L58" s="505">
        <f t="shared" si="14"/>
        <v>0</v>
      </c>
      <c r="M58" s="513"/>
      <c r="N58" s="505">
        <f t="shared" si="4"/>
        <v>0</v>
      </c>
      <c r="O58" s="505">
        <f t="shared" si="5"/>
        <v>0</v>
      </c>
      <c r="P58" s="279"/>
      <c r="R58" s="244"/>
      <c r="S58" s="244"/>
      <c r="T58" s="244"/>
      <c r="U58" s="244"/>
    </row>
    <row r="59" spans="2:21" ht="12.5">
      <c r="B59" s="145" t="str">
        <f t="shared" si="0"/>
        <v/>
      </c>
      <c r="C59" s="496">
        <f>IF(D11="","-",+C58+1)</f>
        <v>2059</v>
      </c>
      <c r="D59" s="509">
        <f>IF(F58+SUM(E$17:E58)=D$10,F58,D$10-SUM(E$17:E58))</f>
        <v>0</v>
      </c>
      <c r="E59" s="510">
        <f t="shared" si="15"/>
        <v>0</v>
      </c>
      <c r="F59" s="511">
        <f t="shared" si="11"/>
        <v>0</v>
      </c>
      <c r="G59" s="512">
        <f t="shared" si="12"/>
        <v>0</v>
      </c>
      <c r="H59" s="478">
        <f t="shared" si="13"/>
        <v>0</v>
      </c>
      <c r="I59" s="501">
        <f t="shared" si="6"/>
        <v>0</v>
      </c>
      <c r="J59" s="501"/>
      <c r="K59" s="513"/>
      <c r="L59" s="505">
        <f t="shared" si="14"/>
        <v>0</v>
      </c>
      <c r="M59" s="513"/>
      <c r="N59" s="505">
        <f t="shared" si="4"/>
        <v>0</v>
      </c>
      <c r="O59" s="505">
        <f t="shared" si="5"/>
        <v>0</v>
      </c>
      <c r="P59" s="279"/>
      <c r="R59" s="244"/>
      <c r="S59" s="244"/>
      <c r="T59" s="244"/>
      <c r="U59" s="244"/>
    </row>
    <row r="60" spans="2:21" ht="12.5">
      <c r="B60" s="145" t="str">
        <f t="shared" si="0"/>
        <v/>
      </c>
      <c r="C60" s="496">
        <f>IF(D11="","-",+C59+1)</f>
        <v>2060</v>
      </c>
      <c r="D60" s="509">
        <f>IF(F59+SUM(E$17:E59)=D$10,F59,D$10-SUM(E$17:E59))</f>
        <v>0</v>
      </c>
      <c r="E60" s="510">
        <f t="shared" si="15"/>
        <v>0</v>
      </c>
      <c r="F60" s="511">
        <f t="shared" si="11"/>
        <v>0</v>
      </c>
      <c r="G60" s="512">
        <f t="shared" si="12"/>
        <v>0</v>
      </c>
      <c r="H60" s="478">
        <f t="shared" si="13"/>
        <v>0</v>
      </c>
      <c r="I60" s="501">
        <f t="shared" si="6"/>
        <v>0</v>
      </c>
      <c r="J60" s="501"/>
      <c r="K60" s="513"/>
      <c r="L60" s="505">
        <f t="shared" si="14"/>
        <v>0</v>
      </c>
      <c r="M60" s="513"/>
      <c r="N60" s="505">
        <f t="shared" si="4"/>
        <v>0</v>
      </c>
      <c r="O60" s="505">
        <f t="shared" si="5"/>
        <v>0</v>
      </c>
      <c r="P60" s="279"/>
      <c r="R60" s="244"/>
      <c r="S60" s="244"/>
      <c r="T60" s="244"/>
      <c r="U60" s="244"/>
    </row>
    <row r="61" spans="2:21" ht="12.5">
      <c r="B61" s="145" t="str">
        <f t="shared" si="0"/>
        <v/>
      </c>
      <c r="C61" s="496">
        <f>IF(D11="","-",+C60+1)</f>
        <v>2061</v>
      </c>
      <c r="D61" s="509">
        <f>IF(F60+SUM(E$17:E60)=D$10,F60,D$10-SUM(E$17:E60))</f>
        <v>0</v>
      </c>
      <c r="E61" s="510">
        <f t="shared" si="15"/>
        <v>0</v>
      </c>
      <c r="F61" s="511">
        <f t="shared" si="11"/>
        <v>0</v>
      </c>
      <c r="G61" s="512">
        <f t="shared" si="12"/>
        <v>0</v>
      </c>
      <c r="H61" s="478">
        <f t="shared" si="13"/>
        <v>0</v>
      </c>
      <c r="I61" s="501">
        <f t="shared" si="6"/>
        <v>0</v>
      </c>
      <c r="J61" s="501"/>
      <c r="K61" s="513"/>
      <c r="L61" s="505">
        <f t="shared" si="14"/>
        <v>0</v>
      </c>
      <c r="M61" s="513"/>
      <c r="N61" s="505">
        <f t="shared" si="4"/>
        <v>0</v>
      </c>
      <c r="O61" s="505">
        <f t="shared" si="5"/>
        <v>0</v>
      </c>
      <c r="P61" s="279"/>
      <c r="R61" s="244"/>
      <c r="S61" s="244"/>
      <c r="T61" s="244"/>
      <c r="U61" s="244"/>
    </row>
    <row r="62" spans="2:21" ht="12.5">
      <c r="B62" s="145" t="str">
        <f t="shared" si="0"/>
        <v/>
      </c>
      <c r="C62" s="496">
        <f>IF(D11="","-",+C61+1)</f>
        <v>2062</v>
      </c>
      <c r="D62" s="509">
        <f>IF(F61+SUM(E$17:E61)=D$10,F61,D$10-SUM(E$17:E61))</f>
        <v>0</v>
      </c>
      <c r="E62" s="510">
        <f t="shared" si="15"/>
        <v>0</v>
      </c>
      <c r="F62" s="511">
        <f t="shared" si="11"/>
        <v>0</v>
      </c>
      <c r="G62" s="512">
        <f t="shared" si="12"/>
        <v>0</v>
      </c>
      <c r="H62" s="478">
        <f t="shared" si="13"/>
        <v>0</v>
      </c>
      <c r="I62" s="501">
        <f t="shared" si="6"/>
        <v>0</v>
      </c>
      <c r="J62" s="501"/>
      <c r="K62" s="513"/>
      <c r="L62" s="505">
        <f t="shared" si="14"/>
        <v>0</v>
      </c>
      <c r="M62" s="513"/>
      <c r="N62" s="505">
        <f t="shared" si="4"/>
        <v>0</v>
      </c>
      <c r="O62" s="505">
        <f t="shared" si="5"/>
        <v>0</v>
      </c>
      <c r="P62" s="279"/>
      <c r="R62" s="244"/>
      <c r="S62" s="244"/>
      <c r="T62" s="244"/>
      <c r="U62" s="244"/>
    </row>
    <row r="63" spans="2:21" ht="12.5">
      <c r="B63" s="145" t="str">
        <f t="shared" si="0"/>
        <v/>
      </c>
      <c r="C63" s="496">
        <f>IF(D11="","-",+C62+1)</f>
        <v>2063</v>
      </c>
      <c r="D63" s="509">
        <f>IF(F62+SUM(E$17:E62)=D$10,F62,D$10-SUM(E$17:E62))</f>
        <v>0</v>
      </c>
      <c r="E63" s="510">
        <f t="shared" si="15"/>
        <v>0</v>
      </c>
      <c r="F63" s="511">
        <f t="shared" si="11"/>
        <v>0</v>
      </c>
      <c r="G63" s="512">
        <f t="shared" si="12"/>
        <v>0</v>
      </c>
      <c r="H63" s="478">
        <f t="shared" si="13"/>
        <v>0</v>
      </c>
      <c r="I63" s="501">
        <f t="shared" si="6"/>
        <v>0</v>
      </c>
      <c r="J63" s="501"/>
      <c r="K63" s="513"/>
      <c r="L63" s="505">
        <f t="shared" si="14"/>
        <v>0</v>
      </c>
      <c r="M63" s="513"/>
      <c r="N63" s="505">
        <f t="shared" si="4"/>
        <v>0</v>
      </c>
      <c r="O63" s="505">
        <f t="shared" si="5"/>
        <v>0</v>
      </c>
      <c r="P63" s="279"/>
      <c r="R63" s="244"/>
      <c r="S63" s="244"/>
      <c r="T63" s="244"/>
      <c r="U63" s="244"/>
    </row>
    <row r="64" spans="2:21" ht="12.5">
      <c r="B64" s="145" t="str">
        <f t="shared" si="0"/>
        <v/>
      </c>
      <c r="C64" s="496">
        <f>IF(D11="","-",+C63+1)</f>
        <v>2064</v>
      </c>
      <c r="D64" s="509">
        <f>IF(F63+SUM(E$17:E63)=D$10,F63,D$10-SUM(E$17:E63))</f>
        <v>0</v>
      </c>
      <c r="E64" s="510">
        <f t="shared" si="15"/>
        <v>0</v>
      </c>
      <c r="F64" s="511">
        <f t="shared" si="11"/>
        <v>0</v>
      </c>
      <c r="G64" s="512">
        <f t="shared" si="12"/>
        <v>0</v>
      </c>
      <c r="H64" s="478">
        <f t="shared" si="13"/>
        <v>0</v>
      </c>
      <c r="I64" s="501">
        <f t="shared" si="6"/>
        <v>0</v>
      </c>
      <c r="J64" s="501"/>
      <c r="K64" s="513"/>
      <c r="L64" s="505">
        <f t="shared" si="14"/>
        <v>0</v>
      </c>
      <c r="M64" s="513"/>
      <c r="N64" s="505">
        <f t="shared" si="4"/>
        <v>0</v>
      </c>
      <c r="O64" s="505">
        <f t="shared" si="5"/>
        <v>0</v>
      </c>
      <c r="P64" s="279"/>
      <c r="R64" s="244"/>
      <c r="S64" s="244"/>
      <c r="T64" s="244"/>
      <c r="U64" s="244"/>
    </row>
    <row r="65" spans="2:21" ht="12.5">
      <c r="B65" s="145" t="str">
        <f t="shared" si="0"/>
        <v/>
      </c>
      <c r="C65" s="496">
        <f>IF(D11="","-",+C64+1)</f>
        <v>2065</v>
      </c>
      <c r="D65" s="509">
        <f>IF(F64+SUM(E$17:E64)=D$10,F64,D$10-SUM(E$17:E64))</f>
        <v>0</v>
      </c>
      <c r="E65" s="510">
        <f t="shared" si="15"/>
        <v>0</v>
      </c>
      <c r="F65" s="511">
        <f t="shared" si="11"/>
        <v>0</v>
      </c>
      <c r="G65" s="512">
        <f t="shared" si="12"/>
        <v>0</v>
      </c>
      <c r="H65" s="478">
        <f t="shared" si="13"/>
        <v>0</v>
      </c>
      <c r="I65" s="501">
        <f t="shared" si="6"/>
        <v>0</v>
      </c>
      <c r="J65" s="501"/>
      <c r="K65" s="513"/>
      <c r="L65" s="505">
        <f t="shared" si="14"/>
        <v>0</v>
      </c>
      <c r="M65" s="513"/>
      <c r="N65" s="505">
        <f t="shared" si="4"/>
        <v>0</v>
      </c>
      <c r="O65" s="505">
        <f t="shared" si="5"/>
        <v>0</v>
      </c>
      <c r="P65" s="279"/>
      <c r="R65" s="244"/>
      <c r="S65" s="244"/>
      <c r="T65" s="244"/>
      <c r="U65" s="244"/>
    </row>
    <row r="66" spans="2:21" ht="12.5">
      <c r="B66" s="145" t="str">
        <f t="shared" si="0"/>
        <v/>
      </c>
      <c r="C66" s="496">
        <f>IF(D11="","-",+C65+1)</f>
        <v>2066</v>
      </c>
      <c r="D66" s="509">
        <f>IF(F65+SUM(E$17:E65)=D$10,F65,D$10-SUM(E$17:E65))</f>
        <v>0</v>
      </c>
      <c r="E66" s="510">
        <f t="shared" si="15"/>
        <v>0</v>
      </c>
      <c r="F66" s="511">
        <f t="shared" si="11"/>
        <v>0</v>
      </c>
      <c r="G66" s="512">
        <f t="shared" si="12"/>
        <v>0</v>
      </c>
      <c r="H66" s="478">
        <f t="shared" si="13"/>
        <v>0</v>
      </c>
      <c r="I66" s="501">
        <f t="shared" si="6"/>
        <v>0</v>
      </c>
      <c r="J66" s="501"/>
      <c r="K66" s="513"/>
      <c r="L66" s="505">
        <f t="shared" si="14"/>
        <v>0</v>
      </c>
      <c r="M66" s="513"/>
      <c r="N66" s="505">
        <f t="shared" si="4"/>
        <v>0</v>
      </c>
      <c r="O66" s="505">
        <f t="shared" si="5"/>
        <v>0</v>
      </c>
      <c r="P66" s="279"/>
      <c r="R66" s="244"/>
      <c r="S66" s="244"/>
      <c r="T66" s="244"/>
      <c r="U66" s="244"/>
    </row>
    <row r="67" spans="2:21" ht="12.5">
      <c r="B67" s="145" t="str">
        <f t="shared" si="0"/>
        <v/>
      </c>
      <c r="C67" s="496">
        <f>IF(D11="","-",+C66+1)</f>
        <v>2067</v>
      </c>
      <c r="D67" s="509">
        <f>IF(F66+SUM(E$17:E66)=D$10,F66,D$10-SUM(E$17:E66))</f>
        <v>0</v>
      </c>
      <c r="E67" s="510">
        <f t="shared" si="15"/>
        <v>0</v>
      </c>
      <c r="F67" s="511">
        <f t="shared" si="11"/>
        <v>0</v>
      </c>
      <c r="G67" s="512">
        <f t="shared" si="12"/>
        <v>0</v>
      </c>
      <c r="H67" s="478">
        <f t="shared" si="13"/>
        <v>0</v>
      </c>
      <c r="I67" s="501">
        <f t="shared" si="6"/>
        <v>0</v>
      </c>
      <c r="J67" s="501"/>
      <c r="K67" s="513"/>
      <c r="L67" s="505">
        <f t="shared" si="14"/>
        <v>0</v>
      </c>
      <c r="M67" s="513"/>
      <c r="N67" s="505">
        <f t="shared" si="4"/>
        <v>0</v>
      </c>
      <c r="O67" s="505">
        <f t="shared" si="5"/>
        <v>0</v>
      </c>
      <c r="P67" s="279"/>
      <c r="R67" s="244"/>
      <c r="S67" s="244"/>
      <c r="T67" s="244"/>
      <c r="U67" s="244"/>
    </row>
    <row r="68" spans="2:21" ht="12.5">
      <c r="B68" s="145" t="str">
        <f t="shared" si="0"/>
        <v/>
      </c>
      <c r="C68" s="496">
        <f>IF(D11="","-",+C67+1)</f>
        <v>2068</v>
      </c>
      <c r="D68" s="509">
        <f>IF(F67+SUM(E$17:E67)=D$10,F67,D$10-SUM(E$17:E67))</f>
        <v>0</v>
      </c>
      <c r="E68" s="510">
        <f t="shared" si="15"/>
        <v>0</v>
      </c>
      <c r="F68" s="511">
        <f t="shared" si="11"/>
        <v>0</v>
      </c>
      <c r="G68" s="512">
        <f t="shared" si="12"/>
        <v>0</v>
      </c>
      <c r="H68" s="478">
        <f t="shared" si="13"/>
        <v>0</v>
      </c>
      <c r="I68" s="501">
        <f t="shared" si="6"/>
        <v>0</v>
      </c>
      <c r="J68" s="501"/>
      <c r="K68" s="513"/>
      <c r="L68" s="505">
        <f t="shared" si="14"/>
        <v>0</v>
      </c>
      <c r="M68" s="513"/>
      <c r="N68" s="505">
        <f t="shared" si="4"/>
        <v>0</v>
      </c>
      <c r="O68" s="505">
        <f t="shared" si="5"/>
        <v>0</v>
      </c>
      <c r="P68" s="279"/>
      <c r="R68" s="244"/>
      <c r="S68" s="244"/>
      <c r="T68" s="244"/>
      <c r="U68" s="244"/>
    </row>
    <row r="69" spans="2:21" ht="12.5">
      <c r="B69" s="145" t="str">
        <f t="shared" si="0"/>
        <v/>
      </c>
      <c r="C69" s="496">
        <f>IF(D11="","-",+C68+1)</f>
        <v>2069</v>
      </c>
      <c r="D69" s="509">
        <f>IF(F68+SUM(E$17:E68)=D$10,F68,D$10-SUM(E$17:E68))</f>
        <v>0</v>
      </c>
      <c r="E69" s="510">
        <f t="shared" si="15"/>
        <v>0</v>
      </c>
      <c r="F69" s="511">
        <f t="shared" si="11"/>
        <v>0</v>
      </c>
      <c r="G69" s="512">
        <f t="shared" si="12"/>
        <v>0</v>
      </c>
      <c r="H69" s="478">
        <f t="shared" si="13"/>
        <v>0</v>
      </c>
      <c r="I69" s="501">
        <f t="shared" si="6"/>
        <v>0</v>
      </c>
      <c r="J69" s="501"/>
      <c r="K69" s="513"/>
      <c r="L69" s="505">
        <f t="shared" si="14"/>
        <v>0</v>
      </c>
      <c r="M69" s="513"/>
      <c r="N69" s="505">
        <f t="shared" si="4"/>
        <v>0</v>
      </c>
      <c r="O69" s="505">
        <f t="shared" si="5"/>
        <v>0</v>
      </c>
      <c r="P69" s="279"/>
      <c r="R69" s="244"/>
      <c r="S69" s="244"/>
      <c r="T69" s="244"/>
      <c r="U69" s="244"/>
    </row>
    <row r="70" spans="2:21" ht="12.5">
      <c r="B70" s="145" t="str">
        <f t="shared" si="0"/>
        <v/>
      </c>
      <c r="C70" s="496">
        <f>IF(D11="","-",+C69+1)</f>
        <v>2070</v>
      </c>
      <c r="D70" s="509">
        <f>IF(F69+SUM(E$17:E69)=D$10,F69,D$10-SUM(E$17:E69))</f>
        <v>0</v>
      </c>
      <c r="E70" s="510">
        <f t="shared" si="15"/>
        <v>0</v>
      </c>
      <c r="F70" s="511">
        <f t="shared" si="11"/>
        <v>0</v>
      </c>
      <c r="G70" s="512">
        <f t="shared" si="12"/>
        <v>0</v>
      </c>
      <c r="H70" s="478">
        <f t="shared" si="13"/>
        <v>0</v>
      </c>
      <c r="I70" s="501">
        <f t="shared" si="6"/>
        <v>0</v>
      </c>
      <c r="J70" s="501"/>
      <c r="K70" s="513"/>
      <c r="L70" s="505">
        <f t="shared" si="14"/>
        <v>0</v>
      </c>
      <c r="M70" s="513"/>
      <c r="N70" s="505">
        <f t="shared" si="4"/>
        <v>0</v>
      </c>
      <c r="O70" s="505">
        <f t="shared" si="5"/>
        <v>0</v>
      </c>
      <c r="P70" s="279"/>
      <c r="R70" s="244"/>
      <c r="S70" s="244"/>
      <c r="T70" s="244"/>
      <c r="U70" s="244"/>
    </row>
    <row r="71" spans="2:21" ht="12.5">
      <c r="B71" s="145" t="str">
        <f t="shared" si="0"/>
        <v/>
      </c>
      <c r="C71" s="496">
        <f>IF(D11="","-",+C70+1)</f>
        <v>2071</v>
      </c>
      <c r="D71" s="509">
        <f>IF(F70+SUM(E$17:E70)=D$10,F70,D$10-SUM(E$17:E70))</f>
        <v>0</v>
      </c>
      <c r="E71" s="510">
        <f t="shared" si="15"/>
        <v>0</v>
      </c>
      <c r="F71" s="511">
        <f t="shared" si="11"/>
        <v>0</v>
      </c>
      <c r="G71" s="512">
        <f t="shared" si="12"/>
        <v>0</v>
      </c>
      <c r="H71" s="478">
        <f t="shared" si="13"/>
        <v>0</v>
      </c>
      <c r="I71" s="501">
        <f t="shared" si="6"/>
        <v>0</v>
      </c>
      <c r="J71" s="501"/>
      <c r="K71" s="513"/>
      <c r="L71" s="505">
        <f t="shared" si="14"/>
        <v>0</v>
      </c>
      <c r="M71" s="513"/>
      <c r="N71" s="505">
        <f t="shared" si="4"/>
        <v>0</v>
      </c>
      <c r="O71" s="505">
        <f t="shared" si="5"/>
        <v>0</v>
      </c>
      <c r="P71" s="279"/>
      <c r="R71" s="244"/>
      <c r="S71" s="244"/>
      <c r="T71" s="244"/>
      <c r="U71" s="244"/>
    </row>
    <row r="72" spans="2:21" ht="12.5">
      <c r="B72" s="145" t="str">
        <f t="shared" si="0"/>
        <v/>
      </c>
      <c r="C72" s="496">
        <f>IF(D11="","-",+C71+1)</f>
        <v>2072</v>
      </c>
      <c r="D72" s="509">
        <f>IF(F71+SUM(E$17:E71)=D$10,F71,D$10-SUM(E$17:E71))</f>
        <v>0</v>
      </c>
      <c r="E72" s="510">
        <f t="shared" si="15"/>
        <v>0</v>
      </c>
      <c r="F72" s="511">
        <f t="shared" si="11"/>
        <v>0</v>
      </c>
      <c r="G72" s="512">
        <f t="shared" si="12"/>
        <v>0</v>
      </c>
      <c r="H72" s="478">
        <f t="shared" si="13"/>
        <v>0</v>
      </c>
      <c r="I72" s="501">
        <f t="shared" si="6"/>
        <v>0</v>
      </c>
      <c r="J72" s="501"/>
      <c r="K72" s="513"/>
      <c r="L72" s="505">
        <f t="shared" si="14"/>
        <v>0</v>
      </c>
      <c r="M72" s="513"/>
      <c r="N72" s="505">
        <f t="shared" si="4"/>
        <v>0</v>
      </c>
      <c r="O72" s="505">
        <f t="shared" si="5"/>
        <v>0</v>
      </c>
      <c r="P72" s="279"/>
      <c r="R72" s="244"/>
      <c r="S72" s="244"/>
      <c r="T72" s="244"/>
      <c r="U72" s="244"/>
    </row>
    <row r="73" spans="2:21" ht="13" thickBot="1">
      <c r="B73" s="145" t="str">
        <f t="shared" si="0"/>
        <v/>
      </c>
      <c r="C73" s="525">
        <f>IF(D11="","-",+C72+1)</f>
        <v>2073</v>
      </c>
      <c r="D73" s="526">
        <f>IF(F72+SUM(E$17:E72)=D$10,F72,D$10-SUM(E$17:E72))</f>
        <v>0</v>
      </c>
      <c r="E73" s="527">
        <f t="shared" si="15"/>
        <v>0</v>
      </c>
      <c r="F73" s="528">
        <f t="shared" si="11"/>
        <v>0</v>
      </c>
      <c r="G73" s="528">
        <f t="shared" si="12"/>
        <v>0</v>
      </c>
      <c r="H73" s="528">
        <f t="shared" si="13"/>
        <v>0</v>
      </c>
      <c r="I73" s="530">
        <f t="shared" si="6"/>
        <v>0</v>
      </c>
      <c r="J73" s="501"/>
      <c r="K73" s="531"/>
      <c r="L73" s="532">
        <f t="shared" si="14"/>
        <v>0</v>
      </c>
      <c r="M73" s="531"/>
      <c r="N73" s="532">
        <f t="shared" si="4"/>
        <v>0</v>
      </c>
      <c r="O73" s="532">
        <f t="shared" si="5"/>
        <v>0</v>
      </c>
      <c r="P73" s="279"/>
      <c r="R73" s="244"/>
      <c r="S73" s="244"/>
      <c r="T73" s="244"/>
      <c r="U73" s="244"/>
    </row>
    <row r="74" spans="2:21" ht="12.5">
      <c r="C74" s="350" t="s">
        <v>75</v>
      </c>
      <c r="D74" s="295"/>
      <c r="E74" s="295">
        <f>SUM(E17:E73)</f>
        <v>11056565.360000005</v>
      </c>
      <c r="F74" s="295"/>
      <c r="G74" s="295">
        <f>SUM(G17:G73)</f>
        <v>31904872.517001644</v>
      </c>
      <c r="H74" s="295">
        <f>SUM(H17:H73)</f>
        <v>31904872.517001644</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15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1394672.8038742263</v>
      </c>
      <c r="N88" s="545">
        <f>IF(J93&lt;D11,0,VLOOKUP(J93,C17:O73,11))</f>
        <v>1394672.8038742263</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1530306.4057577862</v>
      </c>
      <c r="N89" s="549">
        <f>IF(J93&lt;D11,0,VLOOKUP(J93,C100:P155,7))</f>
        <v>1530306.4057577862</v>
      </c>
      <c r="O89" s="550">
        <f>+N89-M89</f>
        <v>0</v>
      </c>
      <c r="P89" s="244"/>
      <c r="Q89" s="244"/>
      <c r="R89" s="244"/>
      <c r="S89" s="244"/>
      <c r="T89" s="244"/>
      <c r="U89" s="244"/>
    </row>
    <row r="90" spans="1:21" ht="13.5" thickBot="1">
      <c r="C90" s="455" t="s">
        <v>82</v>
      </c>
      <c r="D90" s="551" t="str">
        <f>+D7</f>
        <v>Darlington Roman Nose 138 kv</v>
      </c>
      <c r="E90" s="244"/>
      <c r="F90" s="244"/>
      <c r="G90" s="244"/>
      <c r="H90" s="244"/>
      <c r="I90" s="326"/>
      <c r="J90" s="326"/>
      <c r="K90" s="552"/>
      <c r="L90" s="553" t="s">
        <v>135</v>
      </c>
      <c r="M90" s="554">
        <f>+M89-M88</f>
        <v>135633.60188355995</v>
      </c>
      <c r="N90" s="554">
        <f>+N89-N88</f>
        <v>135633.60188355995</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
        <v>261</v>
      </c>
      <c r="E92" s="559"/>
      <c r="F92" s="559"/>
      <c r="G92" s="559"/>
      <c r="H92" s="559"/>
      <c r="I92" s="559"/>
      <c r="J92" s="559"/>
      <c r="K92" s="561"/>
      <c r="P92" s="469"/>
      <c r="Q92" s="244"/>
      <c r="R92" s="244"/>
      <c r="S92" s="244"/>
      <c r="T92" s="244"/>
      <c r="U92" s="244"/>
    </row>
    <row r="93" spans="1:21" ht="13">
      <c r="C93" s="473" t="s">
        <v>49</v>
      </c>
      <c r="D93" s="599">
        <f>D10</f>
        <v>11056565.360000001</v>
      </c>
      <c r="E93" s="249" t="s">
        <v>84</v>
      </c>
      <c r="H93" s="409"/>
      <c r="I93" s="409"/>
      <c r="J93" s="472">
        <f>+'OKT.WS.G.BPU.ATRR.True-up'!M16</f>
        <v>2023</v>
      </c>
      <c r="K93" s="468"/>
      <c r="L93" s="295" t="s">
        <v>85</v>
      </c>
      <c r="P93" s="279"/>
      <c r="Q93" s="244"/>
      <c r="R93" s="244"/>
      <c r="S93" s="244"/>
      <c r="T93" s="244"/>
      <c r="U93" s="244"/>
    </row>
    <row r="94" spans="1:21" ht="12.5">
      <c r="C94" s="473" t="s">
        <v>52</v>
      </c>
      <c r="D94" s="637">
        <f>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99">
        <f>D12</f>
        <v>6</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581924.49263157905</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55" si="16">IF(D100=F99,"","IU")</f>
        <v>IU</v>
      </c>
      <c r="C100" s="496">
        <f>IF(D94= "","-",D94)</f>
        <v>2017</v>
      </c>
      <c r="D100" s="497">
        <v>0</v>
      </c>
      <c r="E100" s="499">
        <v>137920.28750000001</v>
      </c>
      <c r="F100" s="506">
        <v>10895702.7125</v>
      </c>
      <c r="G100" s="506">
        <v>5447851.3562500002</v>
      </c>
      <c r="H100" s="499">
        <v>777148.63448158256</v>
      </c>
      <c r="I100" s="500">
        <v>777148.63448158256</v>
      </c>
      <c r="J100" s="505">
        <f>+I100-H100</f>
        <v>0</v>
      </c>
      <c r="K100" s="505"/>
      <c r="L100" s="507">
        <f>+H100</f>
        <v>777148.63448158256</v>
      </c>
      <c r="M100" s="505">
        <f t="shared" ref="M100:M105" si="17">IF(L100&lt;&gt;0,+H100-L100,0)</f>
        <v>0</v>
      </c>
      <c r="N100" s="507">
        <f>+I100</f>
        <v>777148.63448158256</v>
      </c>
      <c r="O100" s="587">
        <f>IF(N100&lt;&gt;0,+I100-N100,0)</f>
        <v>0</v>
      </c>
      <c r="P100" s="505">
        <f>+O100-M100</f>
        <v>0</v>
      </c>
      <c r="Q100" s="244"/>
      <c r="R100" s="244"/>
      <c r="S100" s="244"/>
      <c r="T100" s="244"/>
      <c r="U100" s="244"/>
    </row>
    <row r="101" spans="1:21" ht="12.5">
      <c r="B101" s="145" t="str">
        <f t="shared" si="16"/>
        <v/>
      </c>
      <c r="C101" s="496">
        <f>IF(D94="","-",+C100+1)</f>
        <v>2018</v>
      </c>
      <c r="D101" s="497">
        <v>10895702.7125</v>
      </c>
      <c r="E101" s="499">
        <v>306489.52777777775</v>
      </c>
      <c r="F101" s="506">
        <v>10589213.184722222</v>
      </c>
      <c r="G101" s="506">
        <v>10742457.94861111</v>
      </c>
      <c r="H101" s="499">
        <v>1440489.6981770755</v>
      </c>
      <c r="I101" s="500">
        <v>1440489.6981770755</v>
      </c>
      <c r="J101" s="505">
        <v>0</v>
      </c>
      <c r="K101" s="505"/>
      <c r="L101" s="507">
        <f>H101</f>
        <v>1440489.6981770755</v>
      </c>
      <c r="M101" s="505">
        <f t="shared" si="17"/>
        <v>0</v>
      </c>
      <c r="N101" s="507">
        <f>I101</f>
        <v>1440489.6981770755</v>
      </c>
      <c r="O101" s="505">
        <f>IF(N101&lt;&gt;0,+I101-N101,0)</f>
        <v>0</v>
      </c>
      <c r="P101" s="505">
        <f>+O101-M101</f>
        <v>0</v>
      </c>
      <c r="Q101" s="244"/>
      <c r="R101" s="244"/>
      <c r="S101" s="244"/>
      <c r="T101" s="244"/>
      <c r="U101" s="244"/>
    </row>
    <row r="102" spans="1:21" ht="12.5">
      <c r="B102" s="145" t="str">
        <f t="shared" si="16"/>
        <v>IU</v>
      </c>
      <c r="C102" s="496">
        <f>IF(D94="","-",+C101+1)</f>
        <v>2019</v>
      </c>
      <c r="D102" s="497">
        <v>10612155.184722222</v>
      </c>
      <c r="E102" s="499">
        <v>307126.80555555556</v>
      </c>
      <c r="F102" s="506">
        <v>10305028.379166666</v>
      </c>
      <c r="G102" s="506">
        <v>10458591.781944444</v>
      </c>
      <c r="H102" s="499">
        <v>1411161.3681851514</v>
      </c>
      <c r="I102" s="500">
        <v>1411161.3681851514</v>
      </c>
      <c r="J102" s="505">
        <f t="shared" ref="J102:J155" si="18">+I102-H102</f>
        <v>0</v>
      </c>
      <c r="K102" s="505"/>
      <c r="L102" s="507">
        <f>H102</f>
        <v>1411161.3681851514</v>
      </c>
      <c r="M102" s="505">
        <f t="shared" si="17"/>
        <v>0</v>
      </c>
      <c r="N102" s="507">
        <f>I102</f>
        <v>1411161.3681851514</v>
      </c>
      <c r="O102" s="505">
        <f t="shared" ref="O102:O155" si="19">IF(N102&lt;&gt;0,+I102-N102,0)</f>
        <v>0</v>
      </c>
      <c r="P102" s="505">
        <f t="shared" ref="P102:P155" si="20">+O102-M102</f>
        <v>0</v>
      </c>
      <c r="Q102" s="244"/>
      <c r="R102" s="244"/>
      <c r="S102" s="244"/>
      <c r="T102" s="244"/>
      <c r="U102" s="244"/>
    </row>
    <row r="103" spans="1:21" ht="12.5">
      <c r="B103" s="145" t="str">
        <f t="shared" si="16"/>
        <v/>
      </c>
      <c r="C103" s="496">
        <f>IF(D94="","-",+C102+1)</f>
        <v>2020</v>
      </c>
      <c r="D103" s="497">
        <v>10305028.379166666</v>
      </c>
      <c r="E103" s="499">
        <v>394877.32142857142</v>
      </c>
      <c r="F103" s="506">
        <v>9910151.0577380955</v>
      </c>
      <c r="G103" s="506">
        <v>10107589.718452381</v>
      </c>
      <c r="H103" s="499">
        <v>1470461.3095253243</v>
      </c>
      <c r="I103" s="500">
        <v>1470461.3095253243</v>
      </c>
      <c r="J103" s="505">
        <f t="shared" si="18"/>
        <v>0</v>
      </c>
      <c r="K103" s="505"/>
      <c r="L103" s="507">
        <f>H103</f>
        <v>1470461.3095253243</v>
      </c>
      <c r="M103" s="505">
        <f t="shared" si="17"/>
        <v>0</v>
      </c>
      <c r="N103" s="507">
        <f>I103</f>
        <v>1470461.3095253243</v>
      </c>
      <c r="O103" s="505">
        <f t="shared" si="19"/>
        <v>0</v>
      </c>
      <c r="P103" s="505">
        <f t="shared" si="20"/>
        <v>0</v>
      </c>
      <c r="Q103" s="244"/>
      <c r="R103" s="244"/>
      <c r="S103" s="244"/>
      <c r="T103" s="244"/>
      <c r="U103" s="244"/>
    </row>
    <row r="104" spans="1:21" ht="12.5">
      <c r="B104" s="145" t="str">
        <f t="shared" si="16"/>
        <v/>
      </c>
      <c r="C104" s="496">
        <f>IF(D94="","-",+C103+1)</f>
        <v>2021</v>
      </c>
      <c r="D104" s="497">
        <v>9910151.0577380955</v>
      </c>
      <c r="E104" s="499">
        <v>442262.6</v>
      </c>
      <c r="F104" s="506">
        <v>9467888.4577380959</v>
      </c>
      <c r="G104" s="506">
        <v>9689019.7577380948</v>
      </c>
      <c r="H104" s="499">
        <v>1585198.8759410642</v>
      </c>
      <c r="I104" s="500">
        <v>1585198.8759410642</v>
      </c>
      <c r="J104" s="505">
        <f t="shared" si="18"/>
        <v>0</v>
      </c>
      <c r="K104" s="505"/>
      <c r="L104" s="507">
        <f>H104</f>
        <v>1585198.8759410642</v>
      </c>
      <c r="M104" s="505">
        <f t="shared" si="17"/>
        <v>0</v>
      </c>
      <c r="N104" s="507">
        <f>I104</f>
        <v>1585198.8759410642</v>
      </c>
      <c r="O104" s="505">
        <f t="shared" si="19"/>
        <v>0</v>
      </c>
      <c r="P104" s="505">
        <f t="shared" si="20"/>
        <v>0</v>
      </c>
      <c r="Q104" s="244"/>
      <c r="R104" s="244"/>
      <c r="S104" s="244"/>
      <c r="T104" s="244"/>
      <c r="U104" s="244"/>
    </row>
    <row r="105" spans="1:21" ht="12.5">
      <c r="B105" s="145" t="str">
        <f t="shared" si="16"/>
        <v/>
      </c>
      <c r="C105" s="496">
        <f>IF(D94="","-",+C104+1)</f>
        <v>2022</v>
      </c>
      <c r="D105" s="497">
        <v>9467888.4577380959</v>
      </c>
      <c r="E105" s="499">
        <v>526503.09523809527</v>
      </c>
      <c r="F105" s="506">
        <v>8941385.3625000007</v>
      </c>
      <c r="G105" s="506">
        <v>9204636.9101190493</v>
      </c>
      <c r="H105" s="499">
        <v>1584723.5294917226</v>
      </c>
      <c r="I105" s="500">
        <v>1584723.5294917226</v>
      </c>
      <c r="J105" s="505">
        <f t="shared" si="18"/>
        <v>0</v>
      </c>
      <c r="K105" s="505"/>
      <c r="L105" s="507">
        <f>H105</f>
        <v>1584723.5294917226</v>
      </c>
      <c r="M105" s="505">
        <f t="shared" si="17"/>
        <v>0</v>
      </c>
      <c r="N105" s="507">
        <f>I105</f>
        <v>1584723.5294917226</v>
      </c>
      <c r="O105" s="505">
        <f t="shared" ref="O105" si="21">IF(N105&lt;&gt;0,+I105-N105,0)</f>
        <v>0</v>
      </c>
      <c r="P105" s="505">
        <f t="shared" ref="P105" si="22">+O105-M105</f>
        <v>0</v>
      </c>
      <c r="Q105" s="244"/>
      <c r="R105" s="244"/>
      <c r="S105" s="244"/>
      <c r="T105" s="244"/>
      <c r="U105" s="244"/>
    </row>
    <row r="106" spans="1:21" ht="12.5">
      <c r="B106" s="145" t="str">
        <f t="shared" si="16"/>
        <v>IU</v>
      </c>
      <c r="C106" s="496">
        <f>IF(D94="","-",+C105+1)</f>
        <v>2023</v>
      </c>
      <c r="D106" s="350">
        <f>IF(F105+SUM(E$100:E105)=D$93,F105,D$93-SUM(E$100:E105))</f>
        <v>8941385.722500002</v>
      </c>
      <c r="E106" s="510">
        <f t="shared" ref="E106:E134" si="23">IF(+J$97&lt;F105,J$97,D106)</f>
        <v>581924.49263157905</v>
      </c>
      <c r="F106" s="511">
        <f t="shared" ref="F106:F155" si="24">+D106-E106</f>
        <v>8359461.2298684232</v>
      </c>
      <c r="G106" s="511">
        <f t="shared" ref="G106:G155" si="25">+(F106+D106)/2</f>
        <v>8650423.4761842117</v>
      </c>
      <c r="H106" s="645">
        <f t="shared" ref="H106:H155" si="26">(D106+F106)/2*J$95+E106</f>
        <v>1530306.4057577862</v>
      </c>
      <c r="I106" s="573">
        <f t="shared" ref="I106:I155" si="27">+J$96*G106+E106</f>
        <v>1530306.4057577862</v>
      </c>
      <c r="J106" s="505">
        <f t="shared" si="18"/>
        <v>0</v>
      </c>
      <c r="K106" s="505"/>
      <c r="L106" s="513"/>
      <c r="M106" s="505">
        <f t="shared" ref="M106:M155" si="28">IF(L106&lt;&gt;0,+H106-L106,0)</f>
        <v>0</v>
      </c>
      <c r="N106" s="513"/>
      <c r="O106" s="505">
        <f t="shared" si="19"/>
        <v>0</v>
      </c>
      <c r="P106" s="505">
        <f t="shared" si="20"/>
        <v>0</v>
      </c>
      <c r="Q106" s="244"/>
      <c r="R106" s="244"/>
      <c r="S106" s="244"/>
      <c r="T106" s="244"/>
      <c r="U106" s="244"/>
    </row>
    <row r="107" spans="1:21" ht="12.5">
      <c r="B107" s="145" t="str">
        <f t="shared" si="16"/>
        <v/>
      </c>
      <c r="C107" s="496">
        <f>IF(D94="","-",+C106+1)</f>
        <v>2024</v>
      </c>
      <c r="D107" s="350">
        <f>IF(F106+SUM(E$100:E106)=D$93,F106,D$93-SUM(E$100:E106))</f>
        <v>8359461.2298684232</v>
      </c>
      <c r="E107" s="510">
        <f t="shared" si="23"/>
        <v>581924.49263157905</v>
      </c>
      <c r="F107" s="511">
        <f t="shared" si="24"/>
        <v>7777536.7372368444</v>
      </c>
      <c r="G107" s="511">
        <f t="shared" si="25"/>
        <v>8068498.9835526338</v>
      </c>
      <c r="H107" s="645">
        <f t="shared" si="26"/>
        <v>1466507.6027123225</v>
      </c>
      <c r="I107" s="573">
        <f t="shared" si="27"/>
        <v>1466507.6027123225</v>
      </c>
      <c r="J107" s="505">
        <f t="shared" si="18"/>
        <v>0</v>
      </c>
      <c r="K107" s="505"/>
      <c r="L107" s="513"/>
      <c r="M107" s="505">
        <f t="shared" si="28"/>
        <v>0</v>
      </c>
      <c r="N107" s="513"/>
      <c r="O107" s="505">
        <f t="shared" si="19"/>
        <v>0</v>
      </c>
      <c r="P107" s="505">
        <f t="shared" si="20"/>
        <v>0</v>
      </c>
      <c r="Q107" s="244"/>
      <c r="R107" s="244"/>
      <c r="S107" s="244"/>
      <c r="T107" s="244"/>
      <c r="U107" s="244"/>
    </row>
    <row r="108" spans="1:21" ht="12.5">
      <c r="B108" s="145" t="str">
        <f t="shared" si="16"/>
        <v/>
      </c>
      <c r="C108" s="496">
        <f>IF(D94="","-",+C107+1)</f>
        <v>2025</v>
      </c>
      <c r="D108" s="350">
        <f>IF(F107+SUM(E$100:E107)=D$93,F107,D$93-SUM(E$100:E107))</f>
        <v>7777536.7372368444</v>
      </c>
      <c r="E108" s="510">
        <f t="shared" si="23"/>
        <v>581924.49263157905</v>
      </c>
      <c r="F108" s="511">
        <f t="shared" si="24"/>
        <v>7195612.2446052656</v>
      </c>
      <c r="G108" s="511">
        <f t="shared" si="25"/>
        <v>7486574.490921055</v>
      </c>
      <c r="H108" s="645">
        <f t="shared" si="26"/>
        <v>1402708.7996668583</v>
      </c>
      <c r="I108" s="573">
        <f t="shared" si="27"/>
        <v>1402708.7996668583</v>
      </c>
      <c r="J108" s="505">
        <f t="shared" si="18"/>
        <v>0</v>
      </c>
      <c r="K108" s="505"/>
      <c r="L108" s="513"/>
      <c r="M108" s="505">
        <f t="shared" si="28"/>
        <v>0</v>
      </c>
      <c r="N108" s="513"/>
      <c r="O108" s="505">
        <f t="shared" si="19"/>
        <v>0</v>
      </c>
      <c r="P108" s="505">
        <f t="shared" si="20"/>
        <v>0</v>
      </c>
      <c r="Q108" s="244"/>
      <c r="R108" s="244"/>
      <c r="S108" s="244"/>
      <c r="T108" s="244"/>
      <c r="U108" s="244"/>
    </row>
    <row r="109" spans="1:21" ht="12.5">
      <c r="B109" s="145" t="str">
        <f t="shared" si="16"/>
        <v/>
      </c>
      <c r="C109" s="496">
        <f>IF(D94="","-",+C108+1)</f>
        <v>2026</v>
      </c>
      <c r="D109" s="350">
        <f>IF(F108+SUM(E$100:E108)=D$93,F108,D$93-SUM(E$100:E108))</f>
        <v>7195612.2446052656</v>
      </c>
      <c r="E109" s="510">
        <f t="shared" si="23"/>
        <v>581924.49263157905</v>
      </c>
      <c r="F109" s="511">
        <f t="shared" si="24"/>
        <v>6613687.7519736867</v>
      </c>
      <c r="G109" s="511">
        <f t="shared" si="25"/>
        <v>6904649.9982894761</v>
      </c>
      <c r="H109" s="645">
        <f t="shared" si="26"/>
        <v>1338909.9966213945</v>
      </c>
      <c r="I109" s="573">
        <f t="shared" si="27"/>
        <v>1338909.9966213945</v>
      </c>
      <c r="J109" s="505">
        <f t="shared" si="18"/>
        <v>0</v>
      </c>
      <c r="K109" s="505"/>
      <c r="L109" s="513"/>
      <c r="M109" s="505">
        <f t="shared" si="28"/>
        <v>0</v>
      </c>
      <c r="N109" s="513"/>
      <c r="O109" s="505">
        <f t="shared" si="19"/>
        <v>0</v>
      </c>
      <c r="P109" s="505">
        <f t="shared" si="20"/>
        <v>0</v>
      </c>
      <c r="Q109" s="244"/>
      <c r="R109" s="244"/>
      <c r="S109" s="244"/>
      <c r="T109" s="244"/>
      <c r="U109" s="244"/>
    </row>
    <row r="110" spans="1:21" ht="12.5">
      <c r="B110" s="145" t="str">
        <f t="shared" si="16"/>
        <v/>
      </c>
      <c r="C110" s="496">
        <f>IF(D94="","-",+C109+1)</f>
        <v>2027</v>
      </c>
      <c r="D110" s="350">
        <f>IF(F109+SUM(E$100:E109)=D$93,F109,D$93-SUM(E$100:E109))</f>
        <v>6613687.7519736867</v>
      </c>
      <c r="E110" s="510">
        <f t="shared" si="23"/>
        <v>581924.49263157905</v>
      </c>
      <c r="F110" s="511">
        <f t="shared" si="24"/>
        <v>6031763.2593421079</v>
      </c>
      <c r="G110" s="511">
        <f t="shared" si="25"/>
        <v>6322725.5056578973</v>
      </c>
      <c r="H110" s="645">
        <f t="shared" si="26"/>
        <v>1275111.1935759305</v>
      </c>
      <c r="I110" s="573">
        <f t="shared" si="27"/>
        <v>1275111.1935759305</v>
      </c>
      <c r="J110" s="505">
        <f t="shared" si="18"/>
        <v>0</v>
      </c>
      <c r="K110" s="505"/>
      <c r="L110" s="513"/>
      <c r="M110" s="505">
        <f t="shared" si="28"/>
        <v>0</v>
      </c>
      <c r="N110" s="513"/>
      <c r="O110" s="505">
        <f t="shared" si="19"/>
        <v>0</v>
      </c>
      <c r="P110" s="505">
        <f t="shared" si="20"/>
        <v>0</v>
      </c>
      <c r="Q110" s="244"/>
      <c r="R110" s="244"/>
      <c r="S110" s="244"/>
      <c r="T110" s="244"/>
      <c r="U110" s="244"/>
    </row>
    <row r="111" spans="1:21" ht="12.5">
      <c r="B111" s="145" t="str">
        <f t="shared" si="16"/>
        <v/>
      </c>
      <c r="C111" s="496">
        <f>IF(D94="","-",+C110+1)</f>
        <v>2028</v>
      </c>
      <c r="D111" s="350">
        <f>IF(F110+SUM(E$100:E110)=D$93,F110,D$93-SUM(E$100:E110))</f>
        <v>6031763.2593421079</v>
      </c>
      <c r="E111" s="510">
        <f t="shared" si="23"/>
        <v>581924.49263157905</v>
      </c>
      <c r="F111" s="511">
        <f t="shared" si="24"/>
        <v>5449838.7667105291</v>
      </c>
      <c r="G111" s="511">
        <f t="shared" si="25"/>
        <v>5740801.0130263185</v>
      </c>
      <c r="H111" s="645">
        <f t="shared" si="26"/>
        <v>1211312.3905304666</v>
      </c>
      <c r="I111" s="573">
        <f t="shared" si="27"/>
        <v>1211312.3905304666</v>
      </c>
      <c r="J111" s="505">
        <f t="shared" si="18"/>
        <v>0</v>
      </c>
      <c r="K111" s="505"/>
      <c r="L111" s="513"/>
      <c r="M111" s="505">
        <f t="shared" si="28"/>
        <v>0</v>
      </c>
      <c r="N111" s="513"/>
      <c r="O111" s="505">
        <f t="shared" si="19"/>
        <v>0</v>
      </c>
      <c r="P111" s="505">
        <f t="shared" si="20"/>
        <v>0</v>
      </c>
      <c r="Q111" s="244"/>
      <c r="R111" s="244"/>
      <c r="S111" s="244"/>
      <c r="T111" s="244"/>
      <c r="U111" s="244"/>
    </row>
    <row r="112" spans="1:21" ht="12.5">
      <c r="B112" s="145" t="str">
        <f t="shared" si="16"/>
        <v/>
      </c>
      <c r="C112" s="496">
        <f>IF(D94="","-",+C111+1)</f>
        <v>2029</v>
      </c>
      <c r="D112" s="350">
        <f>IF(F111+SUM(E$100:E111)=D$93,F111,D$93-SUM(E$100:E111))</f>
        <v>5449838.7667105291</v>
      </c>
      <c r="E112" s="510">
        <f t="shared" si="23"/>
        <v>581924.49263157905</v>
      </c>
      <c r="F112" s="511">
        <f t="shared" si="24"/>
        <v>4867914.2740789503</v>
      </c>
      <c r="G112" s="511">
        <f t="shared" si="25"/>
        <v>5158876.5203947397</v>
      </c>
      <c r="H112" s="645">
        <f t="shared" si="26"/>
        <v>1147513.5874850026</v>
      </c>
      <c r="I112" s="573">
        <f t="shared" si="27"/>
        <v>1147513.5874850026</v>
      </c>
      <c r="J112" s="505">
        <f t="shared" si="18"/>
        <v>0</v>
      </c>
      <c r="K112" s="505"/>
      <c r="L112" s="513"/>
      <c r="M112" s="505">
        <f t="shared" si="28"/>
        <v>0</v>
      </c>
      <c r="N112" s="513"/>
      <c r="O112" s="505">
        <f t="shared" si="19"/>
        <v>0</v>
      </c>
      <c r="P112" s="505">
        <f t="shared" si="20"/>
        <v>0</v>
      </c>
      <c r="Q112" s="244"/>
      <c r="R112" s="244"/>
      <c r="S112" s="244"/>
      <c r="T112" s="244"/>
      <c r="U112" s="244"/>
    </row>
    <row r="113" spans="2:21" ht="12.5">
      <c r="B113" s="145" t="str">
        <f t="shared" si="16"/>
        <v/>
      </c>
      <c r="C113" s="496">
        <f>IF(D94="","-",+C112+1)</f>
        <v>2030</v>
      </c>
      <c r="D113" s="350">
        <f>IF(F112+SUM(E$100:E112)=D$93,F112,D$93-SUM(E$100:E112))</f>
        <v>4867914.2740789503</v>
      </c>
      <c r="E113" s="510">
        <f t="shared" si="23"/>
        <v>581924.49263157905</v>
      </c>
      <c r="F113" s="511">
        <f t="shared" si="24"/>
        <v>4285989.7814473715</v>
      </c>
      <c r="G113" s="511">
        <f t="shared" si="25"/>
        <v>4576952.0277631609</v>
      </c>
      <c r="H113" s="645">
        <f t="shared" si="26"/>
        <v>1083714.7844395386</v>
      </c>
      <c r="I113" s="573">
        <f t="shared" si="27"/>
        <v>1083714.7844395386</v>
      </c>
      <c r="J113" s="505">
        <f t="shared" si="18"/>
        <v>0</v>
      </c>
      <c r="K113" s="505"/>
      <c r="L113" s="513"/>
      <c r="M113" s="505">
        <f t="shared" si="28"/>
        <v>0</v>
      </c>
      <c r="N113" s="513"/>
      <c r="O113" s="505">
        <f t="shared" si="19"/>
        <v>0</v>
      </c>
      <c r="P113" s="505">
        <f t="shared" si="20"/>
        <v>0</v>
      </c>
      <c r="Q113" s="244"/>
      <c r="R113" s="244"/>
      <c r="S113" s="244"/>
      <c r="T113" s="244"/>
      <c r="U113" s="244"/>
    </row>
    <row r="114" spans="2:21" ht="12.5">
      <c r="B114" s="145" t="str">
        <f t="shared" si="16"/>
        <v/>
      </c>
      <c r="C114" s="496">
        <f>IF(D94="","-",+C113+1)</f>
        <v>2031</v>
      </c>
      <c r="D114" s="350">
        <f>IF(F113+SUM(E$100:E113)=D$93,F113,D$93-SUM(E$100:E113))</f>
        <v>4285989.7814473715</v>
      </c>
      <c r="E114" s="510">
        <f t="shared" si="23"/>
        <v>581924.49263157905</v>
      </c>
      <c r="F114" s="511">
        <f t="shared" si="24"/>
        <v>3704065.2888157926</v>
      </c>
      <c r="G114" s="511">
        <f t="shared" si="25"/>
        <v>3995027.5351315821</v>
      </c>
      <c r="H114" s="645">
        <f t="shared" si="26"/>
        <v>1019915.9813940746</v>
      </c>
      <c r="I114" s="573">
        <f t="shared" si="27"/>
        <v>1019915.9813940746</v>
      </c>
      <c r="J114" s="505">
        <f t="shared" si="18"/>
        <v>0</v>
      </c>
      <c r="K114" s="505"/>
      <c r="L114" s="513"/>
      <c r="M114" s="505">
        <f t="shared" si="28"/>
        <v>0</v>
      </c>
      <c r="N114" s="513"/>
      <c r="O114" s="505">
        <f t="shared" si="19"/>
        <v>0</v>
      </c>
      <c r="P114" s="505">
        <f t="shared" si="20"/>
        <v>0</v>
      </c>
      <c r="Q114" s="244"/>
      <c r="R114" s="244"/>
      <c r="S114" s="244"/>
      <c r="T114" s="244"/>
      <c r="U114" s="244"/>
    </row>
    <row r="115" spans="2:21" ht="12.5">
      <c r="B115" s="145" t="str">
        <f t="shared" si="16"/>
        <v/>
      </c>
      <c r="C115" s="496">
        <f>IF(D94="","-",+C114+1)</f>
        <v>2032</v>
      </c>
      <c r="D115" s="350">
        <f>IF(F114+SUM(E$100:E114)=D$93,F114,D$93-SUM(E$100:E114))</f>
        <v>3704065.2888157926</v>
      </c>
      <c r="E115" s="510">
        <f t="shared" si="23"/>
        <v>581924.49263157905</v>
      </c>
      <c r="F115" s="511">
        <f t="shared" si="24"/>
        <v>3122140.7961842138</v>
      </c>
      <c r="G115" s="511">
        <f t="shared" si="25"/>
        <v>3413103.0425000032</v>
      </c>
      <c r="H115" s="645">
        <f t="shared" si="26"/>
        <v>956117.17834861076</v>
      </c>
      <c r="I115" s="573">
        <f t="shared" si="27"/>
        <v>956117.17834861076</v>
      </c>
      <c r="J115" s="505">
        <f t="shared" si="18"/>
        <v>0</v>
      </c>
      <c r="K115" s="505"/>
      <c r="L115" s="513"/>
      <c r="M115" s="505">
        <f t="shared" si="28"/>
        <v>0</v>
      </c>
      <c r="N115" s="513"/>
      <c r="O115" s="505">
        <f t="shared" si="19"/>
        <v>0</v>
      </c>
      <c r="P115" s="505">
        <f t="shared" si="20"/>
        <v>0</v>
      </c>
      <c r="Q115" s="244"/>
      <c r="R115" s="244"/>
      <c r="S115" s="244"/>
      <c r="T115" s="244"/>
      <c r="U115" s="244"/>
    </row>
    <row r="116" spans="2:21" ht="12.5">
      <c r="B116" s="145" t="str">
        <f t="shared" si="16"/>
        <v/>
      </c>
      <c r="C116" s="496">
        <f>IF(D94="","-",+C115+1)</f>
        <v>2033</v>
      </c>
      <c r="D116" s="350">
        <f>IF(F115+SUM(E$100:E115)=D$93,F115,D$93-SUM(E$100:E115))</f>
        <v>3122140.7961842138</v>
      </c>
      <c r="E116" s="510">
        <f t="shared" si="23"/>
        <v>581924.49263157905</v>
      </c>
      <c r="F116" s="511">
        <f t="shared" si="24"/>
        <v>2540216.303552635</v>
      </c>
      <c r="G116" s="511">
        <f t="shared" si="25"/>
        <v>2831178.5498684244</v>
      </c>
      <c r="H116" s="645">
        <f t="shared" si="26"/>
        <v>892318.37530314678</v>
      </c>
      <c r="I116" s="573">
        <f t="shared" si="27"/>
        <v>892318.37530314678</v>
      </c>
      <c r="J116" s="505">
        <f t="shared" si="18"/>
        <v>0</v>
      </c>
      <c r="K116" s="505"/>
      <c r="L116" s="513"/>
      <c r="M116" s="505">
        <f t="shared" si="28"/>
        <v>0</v>
      </c>
      <c r="N116" s="513"/>
      <c r="O116" s="505">
        <f t="shared" si="19"/>
        <v>0</v>
      </c>
      <c r="P116" s="505">
        <f t="shared" si="20"/>
        <v>0</v>
      </c>
      <c r="Q116" s="244"/>
      <c r="R116" s="244"/>
      <c r="S116" s="244"/>
      <c r="T116" s="244"/>
      <c r="U116" s="244"/>
    </row>
    <row r="117" spans="2:21" ht="12.5">
      <c r="B117" s="145" t="str">
        <f t="shared" si="16"/>
        <v/>
      </c>
      <c r="C117" s="496">
        <f>IF(D94="","-",+C116+1)</f>
        <v>2034</v>
      </c>
      <c r="D117" s="350">
        <f>IF(F116+SUM(E$100:E116)=D$93,F116,D$93-SUM(E$100:E116))</f>
        <v>2540216.303552635</v>
      </c>
      <c r="E117" s="510">
        <f t="shared" si="23"/>
        <v>581924.49263157905</v>
      </c>
      <c r="F117" s="511">
        <f t="shared" si="24"/>
        <v>1958291.810921056</v>
      </c>
      <c r="G117" s="511">
        <f t="shared" si="25"/>
        <v>2249254.0572368456</v>
      </c>
      <c r="H117" s="645">
        <f t="shared" si="26"/>
        <v>828519.5722576828</v>
      </c>
      <c r="I117" s="573">
        <f t="shared" si="27"/>
        <v>828519.5722576828</v>
      </c>
      <c r="J117" s="505">
        <f t="shared" si="18"/>
        <v>0</v>
      </c>
      <c r="K117" s="505"/>
      <c r="L117" s="513"/>
      <c r="M117" s="505">
        <f t="shared" si="28"/>
        <v>0</v>
      </c>
      <c r="N117" s="513"/>
      <c r="O117" s="505">
        <f t="shared" si="19"/>
        <v>0</v>
      </c>
      <c r="P117" s="505">
        <f t="shared" si="20"/>
        <v>0</v>
      </c>
      <c r="Q117" s="244"/>
      <c r="R117" s="244"/>
      <c r="S117" s="244"/>
      <c r="T117" s="244"/>
      <c r="U117" s="244"/>
    </row>
    <row r="118" spans="2:21" ht="12.5">
      <c r="B118" s="145" t="str">
        <f t="shared" si="16"/>
        <v/>
      </c>
      <c r="C118" s="496">
        <f>IF(D94="","-",+C117+1)</f>
        <v>2035</v>
      </c>
      <c r="D118" s="350">
        <f>IF(F117+SUM(E$100:E117)=D$93,F117,D$93-SUM(E$100:E117))</f>
        <v>1958291.810921056</v>
      </c>
      <c r="E118" s="510">
        <f t="shared" si="23"/>
        <v>581924.49263157905</v>
      </c>
      <c r="F118" s="511">
        <f t="shared" si="24"/>
        <v>1376367.3182894769</v>
      </c>
      <c r="G118" s="511">
        <f t="shared" si="25"/>
        <v>1667329.5646052663</v>
      </c>
      <c r="H118" s="645">
        <f t="shared" si="26"/>
        <v>764720.76921221882</v>
      </c>
      <c r="I118" s="573">
        <f t="shared" si="27"/>
        <v>764720.76921221882</v>
      </c>
      <c r="J118" s="505">
        <f t="shared" si="18"/>
        <v>0</v>
      </c>
      <c r="K118" s="505"/>
      <c r="L118" s="513"/>
      <c r="M118" s="505">
        <f t="shared" si="28"/>
        <v>0</v>
      </c>
      <c r="N118" s="513"/>
      <c r="O118" s="505">
        <f t="shared" si="19"/>
        <v>0</v>
      </c>
      <c r="P118" s="505">
        <f t="shared" si="20"/>
        <v>0</v>
      </c>
      <c r="Q118" s="244"/>
      <c r="R118" s="244"/>
      <c r="S118" s="244"/>
      <c r="T118" s="244"/>
      <c r="U118" s="244"/>
    </row>
    <row r="119" spans="2:21" ht="12.5">
      <c r="B119" s="145" t="str">
        <f t="shared" si="16"/>
        <v/>
      </c>
      <c r="C119" s="496">
        <f>IF(D94="","-",+C118+1)</f>
        <v>2036</v>
      </c>
      <c r="D119" s="350">
        <f>IF(F118+SUM(E$100:E118)=D$93,F118,D$93-SUM(E$100:E118))</f>
        <v>1376367.3182894769</v>
      </c>
      <c r="E119" s="510">
        <f t="shared" si="23"/>
        <v>581924.49263157905</v>
      </c>
      <c r="F119" s="511">
        <f t="shared" si="24"/>
        <v>794442.82565789786</v>
      </c>
      <c r="G119" s="511">
        <f t="shared" si="25"/>
        <v>1085405.0719736875</v>
      </c>
      <c r="H119" s="645">
        <f t="shared" si="26"/>
        <v>700921.96616675484</v>
      </c>
      <c r="I119" s="573">
        <f t="shared" si="27"/>
        <v>700921.96616675484</v>
      </c>
      <c r="J119" s="505">
        <f t="shared" si="18"/>
        <v>0</v>
      </c>
      <c r="K119" s="505"/>
      <c r="L119" s="513"/>
      <c r="M119" s="505">
        <f t="shared" si="28"/>
        <v>0</v>
      </c>
      <c r="N119" s="513"/>
      <c r="O119" s="505">
        <f t="shared" si="19"/>
        <v>0</v>
      </c>
      <c r="P119" s="505">
        <f t="shared" si="20"/>
        <v>0</v>
      </c>
      <c r="Q119" s="244"/>
      <c r="R119" s="244"/>
      <c r="S119" s="244"/>
      <c r="T119" s="244"/>
      <c r="U119" s="244"/>
    </row>
    <row r="120" spans="2:21" ht="12.5">
      <c r="B120" s="145" t="str">
        <f t="shared" si="16"/>
        <v/>
      </c>
      <c r="C120" s="496">
        <f>IF(D94="","-",+C119+1)</f>
        <v>2037</v>
      </c>
      <c r="D120" s="350">
        <f>IF(F119+SUM(E$100:E119)=D$93,F119,D$93-SUM(E$100:E119))</f>
        <v>794442.82565789786</v>
      </c>
      <c r="E120" s="510">
        <f t="shared" si="23"/>
        <v>581924.49263157905</v>
      </c>
      <c r="F120" s="511">
        <f t="shared" si="24"/>
        <v>212518.33302631881</v>
      </c>
      <c r="G120" s="511">
        <f t="shared" si="25"/>
        <v>503480.57934210834</v>
      </c>
      <c r="H120" s="645">
        <f t="shared" si="26"/>
        <v>637123.16312129085</v>
      </c>
      <c r="I120" s="573">
        <f t="shared" si="27"/>
        <v>637123.16312129085</v>
      </c>
      <c r="J120" s="505">
        <f t="shared" si="18"/>
        <v>0</v>
      </c>
      <c r="K120" s="505"/>
      <c r="L120" s="513"/>
      <c r="M120" s="505">
        <f t="shared" si="28"/>
        <v>0</v>
      </c>
      <c r="N120" s="513"/>
      <c r="O120" s="505">
        <f t="shared" si="19"/>
        <v>0</v>
      </c>
      <c r="P120" s="505">
        <f t="shared" si="20"/>
        <v>0</v>
      </c>
      <c r="Q120" s="244"/>
      <c r="R120" s="244"/>
      <c r="S120" s="244"/>
      <c r="T120" s="244"/>
      <c r="U120" s="244"/>
    </row>
    <row r="121" spans="2:21" ht="12.5">
      <c r="B121" s="145" t="str">
        <f t="shared" si="16"/>
        <v/>
      </c>
      <c r="C121" s="496">
        <f>IF(D94="","-",+C120+1)</f>
        <v>2038</v>
      </c>
      <c r="D121" s="350">
        <f>IF(F120+SUM(E$100:E120)=D$93,F120,D$93-SUM(E$100:E120))</f>
        <v>212518.33302631881</v>
      </c>
      <c r="E121" s="510">
        <f t="shared" si="23"/>
        <v>212518.33302631881</v>
      </c>
      <c r="F121" s="511">
        <f t="shared" si="24"/>
        <v>0</v>
      </c>
      <c r="G121" s="511">
        <f t="shared" si="25"/>
        <v>106259.16651315941</v>
      </c>
      <c r="H121" s="645">
        <f t="shared" si="26"/>
        <v>224167.96750980872</v>
      </c>
      <c r="I121" s="573">
        <f t="shared" si="27"/>
        <v>224167.96750980872</v>
      </c>
      <c r="J121" s="505">
        <f t="shared" si="18"/>
        <v>0</v>
      </c>
      <c r="K121" s="505"/>
      <c r="L121" s="513"/>
      <c r="M121" s="505">
        <f t="shared" si="28"/>
        <v>0</v>
      </c>
      <c r="N121" s="513"/>
      <c r="O121" s="505">
        <f t="shared" si="19"/>
        <v>0</v>
      </c>
      <c r="P121" s="505">
        <f t="shared" si="20"/>
        <v>0</v>
      </c>
      <c r="Q121" s="244"/>
      <c r="R121" s="244"/>
      <c r="S121" s="244"/>
      <c r="T121" s="244"/>
      <c r="U121" s="244"/>
    </row>
    <row r="122" spans="2:21" ht="12.5">
      <c r="B122" s="145" t="str">
        <f t="shared" si="16"/>
        <v/>
      </c>
      <c r="C122" s="496">
        <f>IF(D94="","-",+C121+1)</f>
        <v>2039</v>
      </c>
      <c r="D122" s="350">
        <f>IF(F121+SUM(E$100:E121)=D$93,F121,D$93-SUM(E$100:E121))</f>
        <v>0</v>
      </c>
      <c r="E122" s="510">
        <f t="shared" si="23"/>
        <v>0</v>
      </c>
      <c r="F122" s="511">
        <f t="shared" si="24"/>
        <v>0</v>
      </c>
      <c r="G122" s="511">
        <f t="shared" si="25"/>
        <v>0</v>
      </c>
      <c r="H122" s="645">
        <f t="shared" si="26"/>
        <v>0</v>
      </c>
      <c r="I122" s="573">
        <f t="shared" si="27"/>
        <v>0</v>
      </c>
      <c r="J122" s="505">
        <f t="shared" si="18"/>
        <v>0</v>
      </c>
      <c r="K122" s="505"/>
      <c r="L122" s="513"/>
      <c r="M122" s="505">
        <f t="shared" si="28"/>
        <v>0</v>
      </c>
      <c r="N122" s="513"/>
      <c r="O122" s="505">
        <f t="shared" si="19"/>
        <v>0</v>
      </c>
      <c r="P122" s="505">
        <f t="shared" si="20"/>
        <v>0</v>
      </c>
      <c r="Q122" s="244"/>
      <c r="R122" s="244"/>
      <c r="S122" s="244"/>
      <c r="T122" s="244"/>
      <c r="U122" s="244"/>
    </row>
    <row r="123" spans="2:21" ht="12.5">
      <c r="B123" s="145" t="str">
        <f t="shared" si="16"/>
        <v/>
      </c>
      <c r="C123" s="496">
        <f>IF(D94="","-",+C122+1)</f>
        <v>2040</v>
      </c>
      <c r="D123" s="350">
        <f>IF(F122+SUM(E$100:E122)=D$93,F122,D$93-SUM(E$100:E122))</f>
        <v>0</v>
      </c>
      <c r="E123" s="510">
        <f t="shared" si="23"/>
        <v>0</v>
      </c>
      <c r="F123" s="511">
        <f t="shared" si="24"/>
        <v>0</v>
      </c>
      <c r="G123" s="511">
        <f t="shared" si="25"/>
        <v>0</v>
      </c>
      <c r="H123" s="645">
        <f t="shared" si="26"/>
        <v>0</v>
      </c>
      <c r="I123" s="573">
        <f t="shared" si="27"/>
        <v>0</v>
      </c>
      <c r="J123" s="505">
        <f t="shared" si="18"/>
        <v>0</v>
      </c>
      <c r="K123" s="505"/>
      <c r="L123" s="513"/>
      <c r="M123" s="505">
        <f t="shared" si="28"/>
        <v>0</v>
      </c>
      <c r="N123" s="513"/>
      <c r="O123" s="505">
        <f t="shared" si="19"/>
        <v>0</v>
      </c>
      <c r="P123" s="505">
        <f t="shared" si="20"/>
        <v>0</v>
      </c>
      <c r="Q123" s="244"/>
      <c r="R123" s="244"/>
      <c r="S123" s="244"/>
      <c r="T123" s="244"/>
      <c r="U123" s="244"/>
    </row>
    <row r="124" spans="2:21" ht="12.5">
      <c r="B124" s="145" t="str">
        <f t="shared" si="16"/>
        <v/>
      </c>
      <c r="C124" s="496">
        <f>IF(D94="","-",+C123+1)</f>
        <v>2041</v>
      </c>
      <c r="D124" s="350">
        <f>IF(F123+SUM(E$100:E123)=D$93,F123,D$93-SUM(E$100:E123))</f>
        <v>0</v>
      </c>
      <c r="E124" s="510">
        <f t="shared" si="23"/>
        <v>0</v>
      </c>
      <c r="F124" s="511">
        <f t="shared" si="24"/>
        <v>0</v>
      </c>
      <c r="G124" s="511">
        <f t="shared" si="25"/>
        <v>0</v>
      </c>
      <c r="H124" s="645">
        <f t="shared" si="26"/>
        <v>0</v>
      </c>
      <c r="I124" s="573">
        <f t="shared" si="27"/>
        <v>0</v>
      </c>
      <c r="J124" s="505">
        <f t="shared" si="18"/>
        <v>0</v>
      </c>
      <c r="K124" s="505"/>
      <c r="L124" s="513"/>
      <c r="M124" s="505">
        <f t="shared" si="28"/>
        <v>0</v>
      </c>
      <c r="N124" s="513"/>
      <c r="O124" s="505">
        <f t="shared" si="19"/>
        <v>0</v>
      </c>
      <c r="P124" s="505">
        <f t="shared" si="20"/>
        <v>0</v>
      </c>
      <c r="Q124" s="244"/>
      <c r="R124" s="244"/>
      <c r="S124" s="244"/>
      <c r="T124" s="244"/>
      <c r="U124" s="244"/>
    </row>
    <row r="125" spans="2:21" ht="12.5">
      <c r="B125" s="145" t="str">
        <f t="shared" si="16"/>
        <v/>
      </c>
      <c r="C125" s="496">
        <f>IF(D94="","-",+C124+1)</f>
        <v>2042</v>
      </c>
      <c r="D125" s="350">
        <f>IF(F124+SUM(E$100:E124)=D$93,F124,D$93-SUM(E$100:E124))</f>
        <v>0</v>
      </c>
      <c r="E125" s="510">
        <f t="shared" si="23"/>
        <v>0</v>
      </c>
      <c r="F125" s="511">
        <f t="shared" si="24"/>
        <v>0</v>
      </c>
      <c r="G125" s="511">
        <f t="shared" si="25"/>
        <v>0</v>
      </c>
      <c r="H125" s="645">
        <f t="shared" si="26"/>
        <v>0</v>
      </c>
      <c r="I125" s="573">
        <f t="shared" si="27"/>
        <v>0</v>
      </c>
      <c r="J125" s="505">
        <f t="shared" si="18"/>
        <v>0</v>
      </c>
      <c r="K125" s="505"/>
      <c r="L125" s="513"/>
      <c r="M125" s="505">
        <f t="shared" si="28"/>
        <v>0</v>
      </c>
      <c r="N125" s="513"/>
      <c r="O125" s="505">
        <f t="shared" si="19"/>
        <v>0</v>
      </c>
      <c r="P125" s="505">
        <f t="shared" si="20"/>
        <v>0</v>
      </c>
      <c r="Q125" s="244"/>
      <c r="R125" s="244"/>
      <c r="S125" s="244"/>
      <c r="T125" s="244"/>
      <c r="U125" s="244"/>
    </row>
    <row r="126" spans="2:21" ht="12.5">
      <c r="B126" s="145" t="str">
        <f t="shared" si="16"/>
        <v/>
      </c>
      <c r="C126" s="496">
        <f>IF(D94="","-",+C125+1)</f>
        <v>2043</v>
      </c>
      <c r="D126" s="350">
        <f>IF(F125+SUM(E$100:E125)=D$93,F125,D$93-SUM(E$100:E125))</f>
        <v>0</v>
      </c>
      <c r="E126" s="510">
        <f t="shared" si="23"/>
        <v>0</v>
      </c>
      <c r="F126" s="511">
        <f t="shared" si="24"/>
        <v>0</v>
      </c>
      <c r="G126" s="511">
        <f t="shared" si="25"/>
        <v>0</v>
      </c>
      <c r="H126" s="645">
        <f t="shared" si="26"/>
        <v>0</v>
      </c>
      <c r="I126" s="573">
        <f t="shared" si="27"/>
        <v>0</v>
      </c>
      <c r="J126" s="505">
        <f t="shared" si="18"/>
        <v>0</v>
      </c>
      <c r="K126" s="505"/>
      <c r="L126" s="513"/>
      <c r="M126" s="505">
        <f t="shared" si="28"/>
        <v>0</v>
      </c>
      <c r="N126" s="513"/>
      <c r="O126" s="505">
        <f t="shared" si="19"/>
        <v>0</v>
      </c>
      <c r="P126" s="505">
        <f t="shared" si="20"/>
        <v>0</v>
      </c>
      <c r="Q126" s="244"/>
      <c r="R126" s="244"/>
      <c r="S126" s="244"/>
      <c r="T126" s="244"/>
      <c r="U126" s="244"/>
    </row>
    <row r="127" spans="2:21" ht="12.5">
      <c r="B127" s="145" t="str">
        <f t="shared" si="16"/>
        <v/>
      </c>
      <c r="C127" s="496">
        <f>IF(D94="","-",+C126+1)</f>
        <v>2044</v>
      </c>
      <c r="D127" s="350">
        <f>IF(F126+SUM(E$100:E126)=D$93,F126,D$93-SUM(E$100:E126))</f>
        <v>0</v>
      </c>
      <c r="E127" s="510">
        <f t="shared" si="23"/>
        <v>0</v>
      </c>
      <c r="F127" s="511">
        <f t="shared" si="24"/>
        <v>0</v>
      </c>
      <c r="G127" s="511">
        <f t="shared" si="25"/>
        <v>0</v>
      </c>
      <c r="H127" s="645">
        <f t="shared" si="26"/>
        <v>0</v>
      </c>
      <c r="I127" s="573">
        <f t="shared" si="27"/>
        <v>0</v>
      </c>
      <c r="J127" s="505">
        <f t="shared" si="18"/>
        <v>0</v>
      </c>
      <c r="K127" s="505"/>
      <c r="L127" s="513"/>
      <c r="M127" s="505">
        <f t="shared" si="28"/>
        <v>0</v>
      </c>
      <c r="N127" s="513"/>
      <c r="O127" s="505">
        <f t="shared" si="19"/>
        <v>0</v>
      </c>
      <c r="P127" s="505">
        <f t="shared" si="20"/>
        <v>0</v>
      </c>
      <c r="Q127" s="244"/>
      <c r="R127" s="244"/>
      <c r="S127" s="244"/>
      <c r="T127" s="244"/>
      <c r="U127" s="244"/>
    </row>
    <row r="128" spans="2:21" ht="12.5">
      <c r="B128" s="145" t="str">
        <f t="shared" si="16"/>
        <v/>
      </c>
      <c r="C128" s="496">
        <f>IF(D94="","-",+C127+1)</f>
        <v>2045</v>
      </c>
      <c r="D128" s="350">
        <f>IF(F127+SUM(E$100:E127)=D$93,F127,D$93-SUM(E$100:E127))</f>
        <v>0</v>
      </c>
      <c r="E128" s="510">
        <f t="shared" si="23"/>
        <v>0</v>
      </c>
      <c r="F128" s="511">
        <f t="shared" si="24"/>
        <v>0</v>
      </c>
      <c r="G128" s="511">
        <f t="shared" si="25"/>
        <v>0</v>
      </c>
      <c r="H128" s="645">
        <f t="shared" si="26"/>
        <v>0</v>
      </c>
      <c r="I128" s="573">
        <f t="shared" si="27"/>
        <v>0</v>
      </c>
      <c r="J128" s="505">
        <f t="shared" si="18"/>
        <v>0</v>
      </c>
      <c r="K128" s="505"/>
      <c r="L128" s="513"/>
      <c r="M128" s="505">
        <f t="shared" si="28"/>
        <v>0</v>
      </c>
      <c r="N128" s="513"/>
      <c r="O128" s="505">
        <f t="shared" si="19"/>
        <v>0</v>
      </c>
      <c r="P128" s="505">
        <f t="shared" si="20"/>
        <v>0</v>
      </c>
      <c r="Q128" s="244"/>
      <c r="R128" s="244"/>
      <c r="S128" s="244"/>
      <c r="T128" s="244"/>
      <c r="U128" s="244"/>
    </row>
    <row r="129" spans="2:21" ht="12.5">
      <c r="B129" s="145" t="str">
        <f t="shared" si="16"/>
        <v/>
      </c>
      <c r="C129" s="496">
        <f>IF(D94="","-",+C128+1)</f>
        <v>2046</v>
      </c>
      <c r="D129" s="350">
        <f>IF(F128+SUM(E$100:E128)=D$93,F128,D$93-SUM(E$100:E128))</f>
        <v>0</v>
      </c>
      <c r="E129" s="510">
        <f t="shared" si="23"/>
        <v>0</v>
      </c>
      <c r="F129" s="511">
        <f t="shared" si="24"/>
        <v>0</v>
      </c>
      <c r="G129" s="511">
        <f t="shared" si="25"/>
        <v>0</v>
      </c>
      <c r="H129" s="645">
        <f t="shared" si="26"/>
        <v>0</v>
      </c>
      <c r="I129" s="573">
        <f t="shared" si="27"/>
        <v>0</v>
      </c>
      <c r="J129" s="505">
        <f t="shared" si="18"/>
        <v>0</v>
      </c>
      <c r="K129" s="505"/>
      <c r="L129" s="513"/>
      <c r="M129" s="505">
        <f t="shared" si="28"/>
        <v>0</v>
      </c>
      <c r="N129" s="513"/>
      <c r="O129" s="505">
        <f t="shared" si="19"/>
        <v>0</v>
      </c>
      <c r="P129" s="505">
        <f t="shared" si="20"/>
        <v>0</v>
      </c>
      <c r="Q129" s="244"/>
      <c r="R129" s="244"/>
      <c r="S129" s="244"/>
      <c r="T129" s="244"/>
      <c r="U129" s="244"/>
    </row>
    <row r="130" spans="2:21" ht="12.5">
      <c r="B130" s="145" t="str">
        <f t="shared" si="16"/>
        <v/>
      </c>
      <c r="C130" s="496">
        <f>IF(D94="","-",+C129+1)</f>
        <v>2047</v>
      </c>
      <c r="D130" s="350">
        <f>IF(F129+SUM(E$100:E129)=D$93,F129,D$93-SUM(E$100:E129))</f>
        <v>0</v>
      </c>
      <c r="E130" s="510">
        <f t="shared" si="23"/>
        <v>0</v>
      </c>
      <c r="F130" s="511">
        <f t="shared" si="24"/>
        <v>0</v>
      </c>
      <c r="G130" s="511">
        <f t="shared" si="25"/>
        <v>0</v>
      </c>
      <c r="H130" s="645">
        <f t="shared" si="26"/>
        <v>0</v>
      </c>
      <c r="I130" s="573">
        <f t="shared" si="27"/>
        <v>0</v>
      </c>
      <c r="J130" s="505">
        <f t="shared" si="18"/>
        <v>0</v>
      </c>
      <c r="K130" s="505"/>
      <c r="L130" s="513"/>
      <c r="M130" s="505">
        <f t="shared" si="28"/>
        <v>0</v>
      </c>
      <c r="N130" s="513"/>
      <c r="O130" s="505">
        <f t="shared" si="19"/>
        <v>0</v>
      </c>
      <c r="P130" s="505">
        <f t="shared" si="20"/>
        <v>0</v>
      </c>
      <c r="Q130" s="244"/>
      <c r="R130" s="244"/>
      <c r="S130" s="244"/>
      <c r="T130" s="244"/>
      <c r="U130" s="244"/>
    </row>
    <row r="131" spans="2:21" ht="12.5">
      <c r="B131" s="145" t="str">
        <f t="shared" si="16"/>
        <v/>
      </c>
      <c r="C131" s="496">
        <f>IF(D94="","-",+C130+1)</f>
        <v>2048</v>
      </c>
      <c r="D131" s="350">
        <f>IF(F130+SUM(E$100:E130)=D$93,F130,D$93-SUM(E$100:E130))</f>
        <v>0</v>
      </c>
      <c r="E131" s="510">
        <f t="shared" si="23"/>
        <v>0</v>
      </c>
      <c r="F131" s="511">
        <f t="shared" si="24"/>
        <v>0</v>
      </c>
      <c r="G131" s="511">
        <f t="shared" si="25"/>
        <v>0</v>
      </c>
      <c r="H131" s="645">
        <f t="shared" si="26"/>
        <v>0</v>
      </c>
      <c r="I131" s="573">
        <f t="shared" si="27"/>
        <v>0</v>
      </c>
      <c r="J131" s="505">
        <f t="shared" si="18"/>
        <v>0</v>
      </c>
      <c r="K131" s="505"/>
      <c r="L131" s="513"/>
      <c r="M131" s="505">
        <f t="shared" si="28"/>
        <v>0</v>
      </c>
      <c r="N131" s="513"/>
      <c r="O131" s="505">
        <f t="shared" si="19"/>
        <v>0</v>
      </c>
      <c r="P131" s="505">
        <f t="shared" si="20"/>
        <v>0</v>
      </c>
      <c r="Q131" s="244"/>
      <c r="R131" s="244"/>
      <c r="S131" s="244"/>
      <c r="T131" s="244"/>
      <c r="U131" s="244"/>
    </row>
    <row r="132" spans="2:21" ht="12.5">
      <c r="B132" s="145" t="str">
        <f t="shared" si="16"/>
        <v/>
      </c>
      <c r="C132" s="496">
        <f>IF(D94="","-",+C131+1)</f>
        <v>2049</v>
      </c>
      <c r="D132" s="350">
        <f>IF(F131+SUM(E$100:E131)=D$93,F131,D$93-SUM(E$100:E131))</f>
        <v>0</v>
      </c>
      <c r="E132" s="510">
        <f t="shared" si="23"/>
        <v>0</v>
      </c>
      <c r="F132" s="511">
        <f t="shared" si="24"/>
        <v>0</v>
      </c>
      <c r="G132" s="511">
        <f t="shared" si="25"/>
        <v>0</v>
      </c>
      <c r="H132" s="645">
        <f t="shared" si="26"/>
        <v>0</v>
      </c>
      <c r="I132" s="573">
        <f t="shared" si="27"/>
        <v>0</v>
      </c>
      <c r="J132" s="505">
        <f t="shared" si="18"/>
        <v>0</v>
      </c>
      <c r="K132" s="505"/>
      <c r="L132" s="513"/>
      <c r="M132" s="505">
        <f t="shared" si="28"/>
        <v>0</v>
      </c>
      <c r="N132" s="513"/>
      <c r="O132" s="505">
        <f t="shared" si="19"/>
        <v>0</v>
      </c>
      <c r="P132" s="505">
        <f t="shared" si="20"/>
        <v>0</v>
      </c>
      <c r="Q132" s="244"/>
      <c r="R132" s="244"/>
      <c r="S132" s="244"/>
      <c r="T132" s="244"/>
      <c r="U132" s="244"/>
    </row>
    <row r="133" spans="2:21" ht="12.5">
      <c r="B133" s="145" t="str">
        <f t="shared" si="16"/>
        <v/>
      </c>
      <c r="C133" s="496">
        <f>IF(D94="","-",+C132+1)</f>
        <v>2050</v>
      </c>
      <c r="D133" s="350">
        <f>IF(F132+SUM(E$100:E132)=D$93,F132,D$93-SUM(E$100:E132))</f>
        <v>0</v>
      </c>
      <c r="E133" s="510">
        <f t="shared" si="23"/>
        <v>0</v>
      </c>
      <c r="F133" s="511">
        <f t="shared" si="24"/>
        <v>0</v>
      </c>
      <c r="G133" s="511">
        <f t="shared" si="25"/>
        <v>0</v>
      </c>
      <c r="H133" s="645">
        <f t="shared" si="26"/>
        <v>0</v>
      </c>
      <c r="I133" s="573">
        <f t="shared" si="27"/>
        <v>0</v>
      </c>
      <c r="J133" s="505">
        <f t="shared" si="18"/>
        <v>0</v>
      </c>
      <c r="K133" s="505"/>
      <c r="L133" s="513"/>
      <c r="M133" s="505">
        <f t="shared" si="28"/>
        <v>0</v>
      </c>
      <c r="N133" s="513"/>
      <c r="O133" s="505">
        <f t="shared" si="19"/>
        <v>0</v>
      </c>
      <c r="P133" s="505">
        <f t="shared" si="20"/>
        <v>0</v>
      </c>
      <c r="Q133" s="244"/>
      <c r="R133" s="244"/>
      <c r="S133" s="244"/>
      <c r="T133" s="244"/>
      <c r="U133" s="244"/>
    </row>
    <row r="134" spans="2:21" ht="12.5">
      <c r="B134" s="145" t="str">
        <f t="shared" si="16"/>
        <v/>
      </c>
      <c r="C134" s="496">
        <f>IF(D94="","-",+C133+1)</f>
        <v>2051</v>
      </c>
      <c r="D134" s="350">
        <f>IF(F133+SUM(E$100:E133)=D$93,F133,D$93-SUM(E$100:E133))</f>
        <v>0</v>
      </c>
      <c r="E134" s="510">
        <f t="shared" si="23"/>
        <v>0</v>
      </c>
      <c r="F134" s="511">
        <f t="shared" si="24"/>
        <v>0</v>
      </c>
      <c r="G134" s="511">
        <f t="shared" si="25"/>
        <v>0</v>
      </c>
      <c r="H134" s="645">
        <f t="shared" si="26"/>
        <v>0</v>
      </c>
      <c r="I134" s="573">
        <f t="shared" si="27"/>
        <v>0</v>
      </c>
      <c r="J134" s="505">
        <f t="shared" si="18"/>
        <v>0</v>
      </c>
      <c r="K134" s="505"/>
      <c r="L134" s="513"/>
      <c r="M134" s="505">
        <f t="shared" si="28"/>
        <v>0</v>
      </c>
      <c r="N134" s="513"/>
      <c r="O134" s="505">
        <f t="shared" si="19"/>
        <v>0</v>
      </c>
      <c r="P134" s="505">
        <f t="shared" si="20"/>
        <v>0</v>
      </c>
      <c r="Q134" s="244"/>
      <c r="R134" s="244"/>
      <c r="S134" s="244"/>
      <c r="T134" s="244"/>
      <c r="U134" s="244"/>
    </row>
    <row r="135" spans="2:21" ht="12.5">
      <c r="B135" s="145" t="str">
        <f t="shared" si="16"/>
        <v/>
      </c>
      <c r="C135" s="496">
        <f>IF(D94="","-",+C134+1)</f>
        <v>2052</v>
      </c>
      <c r="D135" s="350">
        <f>IF(F134+SUM(E$100:E134)=D$93,F134,D$93-SUM(E$100:E134))</f>
        <v>0</v>
      </c>
      <c r="E135" s="510">
        <f t="shared" ref="E135:E155" si="29">IF(+J$97&lt;F134,J$97,D135)</f>
        <v>0</v>
      </c>
      <c r="F135" s="511">
        <f t="shared" si="24"/>
        <v>0</v>
      </c>
      <c r="G135" s="511">
        <f t="shared" si="25"/>
        <v>0</v>
      </c>
      <c r="H135" s="645">
        <f t="shared" si="26"/>
        <v>0</v>
      </c>
      <c r="I135" s="573">
        <f t="shared" si="27"/>
        <v>0</v>
      </c>
      <c r="J135" s="505">
        <f t="shared" si="18"/>
        <v>0</v>
      </c>
      <c r="K135" s="505"/>
      <c r="L135" s="513"/>
      <c r="M135" s="505">
        <f t="shared" si="28"/>
        <v>0</v>
      </c>
      <c r="N135" s="513"/>
      <c r="O135" s="505">
        <f t="shared" si="19"/>
        <v>0</v>
      </c>
      <c r="P135" s="505">
        <f t="shared" si="20"/>
        <v>0</v>
      </c>
      <c r="Q135" s="244"/>
      <c r="R135" s="244"/>
      <c r="S135" s="244"/>
      <c r="T135" s="244"/>
      <c r="U135" s="244"/>
    </row>
    <row r="136" spans="2:21" ht="12.5">
      <c r="B136" s="145" t="str">
        <f t="shared" si="16"/>
        <v/>
      </c>
      <c r="C136" s="496">
        <f>IF(D94="","-",+C135+1)</f>
        <v>2053</v>
      </c>
      <c r="D136" s="350">
        <f>IF(F135+SUM(E$100:E135)=D$93,F135,D$93-SUM(E$100:E135))</f>
        <v>0</v>
      </c>
      <c r="E136" s="510">
        <f t="shared" si="29"/>
        <v>0</v>
      </c>
      <c r="F136" s="511">
        <f t="shared" si="24"/>
        <v>0</v>
      </c>
      <c r="G136" s="511">
        <f t="shared" si="25"/>
        <v>0</v>
      </c>
      <c r="H136" s="645">
        <f t="shared" si="26"/>
        <v>0</v>
      </c>
      <c r="I136" s="573">
        <f t="shared" si="27"/>
        <v>0</v>
      </c>
      <c r="J136" s="505">
        <f t="shared" si="18"/>
        <v>0</v>
      </c>
      <c r="K136" s="505"/>
      <c r="L136" s="513"/>
      <c r="M136" s="505">
        <f t="shared" si="28"/>
        <v>0</v>
      </c>
      <c r="N136" s="513"/>
      <c r="O136" s="505">
        <f t="shared" si="19"/>
        <v>0</v>
      </c>
      <c r="P136" s="505">
        <f t="shared" si="20"/>
        <v>0</v>
      </c>
      <c r="Q136" s="244"/>
      <c r="R136" s="244"/>
      <c r="S136" s="244"/>
      <c r="T136" s="244"/>
      <c r="U136" s="244"/>
    </row>
    <row r="137" spans="2:21" ht="12.5">
      <c r="B137" s="145" t="str">
        <f t="shared" si="16"/>
        <v/>
      </c>
      <c r="C137" s="496">
        <f>IF(D94="","-",+C136+1)</f>
        <v>2054</v>
      </c>
      <c r="D137" s="350">
        <f>IF(F136+SUM(E$100:E136)=D$93,F136,D$93-SUM(E$100:E136))</f>
        <v>0</v>
      </c>
      <c r="E137" s="510">
        <f t="shared" si="29"/>
        <v>0</v>
      </c>
      <c r="F137" s="511">
        <f t="shared" si="24"/>
        <v>0</v>
      </c>
      <c r="G137" s="511">
        <f t="shared" si="25"/>
        <v>0</v>
      </c>
      <c r="H137" s="645">
        <f t="shared" si="26"/>
        <v>0</v>
      </c>
      <c r="I137" s="573">
        <f t="shared" si="27"/>
        <v>0</v>
      </c>
      <c r="J137" s="505">
        <f t="shared" si="18"/>
        <v>0</v>
      </c>
      <c r="K137" s="505"/>
      <c r="L137" s="513"/>
      <c r="M137" s="505">
        <f t="shared" si="28"/>
        <v>0</v>
      </c>
      <c r="N137" s="513"/>
      <c r="O137" s="505">
        <f t="shared" si="19"/>
        <v>0</v>
      </c>
      <c r="P137" s="505">
        <f t="shared" si="20"/>
        <v>0</v>
      </c>
      <c r="Q137" s="244"/>
      <c r="R137" s="244"/>
      <c r="S137" s="244"/>
      <c r="T137" s="244"/>
      <c r="U137" s="244"/>
    </row>
    <row r="138" spans="2:21" ht="12.5">
      <c r="B138" s="145" t="str">
        <f t="shared" si="16"/>
        <v/>
      </c>
      <c r="C138" s="496">
        <f>IF(D94="","-",+C137+1)</f>
        <v>2055</v>
      </c>
      <c r="D138" s="350">
        <f>IF(F137+SUM(E$100:E137)=D$93,F137,D$93-SUM(E$100:E137))</f>
        <v>0</v>
      </c>
      <c r="E138" s="510">
        <f t="shared" si="29"/>
        <v>0</v>
      </c>
      <c r="F138" s="511">
        <f t="shared" si="24"/>
        <v>0</v>
      </c>
      <c r="G138" s="511">
        <f t="shared" si="25"/>
        <v>0</v>
      </c>
      <c r="H138" s="645">
        <f t="shared" si="26"/>
        <v>0</v>
      </c>
      <c r="I138" s="573">
        <f t="shared" si="27"/>
        <v>0</v>
      </c>
      <c r="J138" s="505">
        <f t="shared" si="18"/>
        <v>0</v>
      </c>
      <c r="K138" s="505"/>
      <c r="L138" s="513"/>
      <c r="M138" s="505">
        <f t="shared" si="28"/>
        <v>0</v>
      </c>
      <c r="N138" s="513"/>
      <c r="O138" s="505">
        <f t="shared" si="19"/>
        <v>0</v>
      </c>
      <c r="P138" s="505">
        <f t="shared" si="20"/>
        <v>0</v>
      </c>
      <c r="Q138" s="244"/>
      <c r="R138" s="244"/>
      <c r="S138" s="244"/>
      <c r="T138" s="244"/>
      <c r="U138" s="244"/>
    </row>
    <row r="139" spans="2:21" ht="12.5">
      <c r="B139" s="145" t="str">
        <f t="shared" si="16"/>
        <v/>
      </c>
      <c r="C139" s="496">
        <f>IF(D94="","-",+C138+1)</f>
        <v>2056</v>
      </c>
      <c r="D139" s="350">
        <f>IF(F138+SUM(E$100:E138)=D$93,F138,D$93-SUM(E$100:E138))</f>
        <v>0</v>
      </c>
      <c r="E139" s="510">
        <f t="shared" si="29"/>
        <v>0</v>
      </c>
      <c r="F139" s="511">
        <f t="shared" si="24"/>
        <v>0</v>
      </c>
      <c r="G139" s="511">
        <f t="shared" si="25"/>
        <v>0</v>
      </c>
      <c r="H139" s="645">
        <f t="shared" si="26"/>
        <v>0</v>
      </c>
      <c r="I139" s="573">
        <f t="shared" si="27"/>
        <v>0</v>
      </c>
      <c r="J139" s="505">
        <f t="shared" si="18"/>
        <v>0</v>
      </c>
      <c r="K139" s="505"/>
      <c r="L139" s="513"/>
      <c r="M139" s="505">
        <f t="shared" si="28"/>
        <v>0</v>
      </c>
      <c r="N139" s="513"/>
      <c r="O139" s="505">
        <f t="shared" si="19"/>
        <v>0</v>
      </c>
      <c r="P139" s="505">
        <f t="shared" si="20"/>
        <v>0</v>
      </c>
      <c r="Q139" s="244"/>
      <c r="R139" s="244"/>
      <c r="S139" s="244"/>
      <c r="T139" s="244"/>
      <c r="U139" s="244"/>
    </row>
    <row r="140" spans="2:21" ht="12.5">
      <c r="B140" s="145" t="str">
        <f t="shared" si="16"/>
        <v/>
      </c>
      <c r="C140" s="496">
        <f>IF(D94="","-",+C139+1)</f>
        <v>2057</v>
      </c>
      <c r="D140" s="350">
        <f>IF(F139+SUM(E$100:E139)=D$93,F139,D$93-SUM(E$100:E139))</f>
        <v>0</v>
      </c>
      <c r="E140" s="510">
        <f t="shared" si="29"/>
        <v>0</v>
      </c>
      <c r="F140" s="511">
        <f t="shared" si="24"/>
        <v>0</v>
      </c>
      <c r="G140" s="511">
        <f t="shared" si="25"/>
        <v>0</v>
      </c>
      <c r="H140" s="645">
        <f t="shared" si="26"/>
        <v>0</v>
      </c>
      <c r="I140" s="573">
        <f t="shared" si="27"/>
        <v>0</v>
      </c>
      <c r="J140" s="505">
        <f t="shared" si="18"/>
        <v>0</v>
      </c>
      <c r="K140" s="505"/>
      <c r="L140" s="513"/>
      <c r="M140" s="505">
        <f t="shared" si="28"/>
        <v>0</v>
      </c>
      <c r="N140" s="513"/>
      <c r="O140" s="505">
        <f t="shared" si="19"/>
        <v>0</v>
      </c>
      <c r="P140" s="505">
        <f t="shared" si="20"/>
        <v>0</v>
      </c>
      <c r="Q140" s="244"/>
      <c r="R140" s="244"/>
      <c r="S140" s="244"/>
      <c r="T140" s="244"/>
      <c r="U140" s="244"/>
    </row>
    <row r="141" spans="2:21" ht="12.5">
      <c r="B141" s="145" t="str">
        <f t="shared" si="16"/>
        <v/>
      </c>
      <c r="C141" s="496">
        <f>IF(D94="","-",+C140+1)</f>
        <v>2058</v>
      </c>
      <c r="D141" s="350">
        <f>IF(F140+SUM(E$100:E140)=D$93,F140,D$93-SUM(E$100:E140))</f>
        <v>0</v>
      </c>
      <c r="E141" s="510">
        <f t="shared" si="29"/>
        <v>0</v>
      </c>
      <c r="F141" s="511">
        <f t="shared" si="24"/>
        <v>0</v>
      </c>
      <c r="G141" s="511">
        <f t="shared" si="25"/>
        <v>0</v>
      </c>
      <c r="H141" s="645">
        <f t="shared" si="26"/>
        <v>0</v>
      </c>
      <c r="I141" s="573">
        <f t="shared" si="27"/>
        <v>0</v>
      </c>
      <c r="J141" s="505">
        <f t="shared" si="18"/>
        <v>0</v>
      </c>
      <c r="K141" s="505"/>
      <c r="L141" s="513"/>
      <c r="M141" s="505">
        <f t="shared" si="28"/>
        <v>0</v>
      </c>
      <c r="N141" s="513"/>
      <c r="O141" s="505">
        <f t="shared" si="19"/>
        <v>0</v>
      </c>
      <c r="P141" s="505">
        <f t="shared" si="20"/>
        <v>0</v>
      </c>
      <c r="Q141" s="244"/>
      <c r="R141" s="244"/>
      <c r="S141" s="244"/>
      <c r="T141" s="244"/>
      <c r="U141" s="244"/>
    </row>
    <row r="142" spans="2:21" ht="12.5">
      <c r="B142" s="145" t="str">
        <f t="shared" si="16"/>
        <v/>
      </c>
      <c r="C142" s="496">
        <f>IF(D94="","-",+C141+1)</f>
        <v>2059</v>
      </c>
      <c r="D142" s="350">
        <f>IF(F141+SUM(E$100:E141)=D$93,F141,D$93-SUM(E$100:E141))</f>
        <v>0</v>
      </c>
      <c r="E142" s="510">
        <f t="shared" si="29"/>
        <v>0</v>
      </c>
      <c r="F142" s="511">
        <f t="shared" si="24"/>
        <v>0</v>
      </c>
      <c r="G142" s="511">
        <f t="shared" si="25"/>
        <v>0</v>
      </c>
      <c r="H142" s="645">
        <f t="shared" si="26"/>
        <v>0</v>
      </c>
      <c r="I142" s="573">
        <f t="shared" si="27"/>
        <v>0</v>
      </c>
      <c r="J142" s="505">
        <f t="shared" si="18"/>
        <v>0</v>
      </c>
      <c r="K142" s="505"/>
      <c r="L142" s="513"/>
      <c r="M142" s="505">
        <f t="shared" si="28"/>
        <v>0</v>
      </c>
      <c r="N142" s="513"/>
      <c r="O142" s="505">
        <f t="shared" si="19"/>
        <v>0</v>
      </c>
      <c r="P142" s="505">
        <f t="shared" si="20"/>
        <v>0</v>
      </c>
      <c r="Q142" s="244"/>
      <c r="R142" s="244"/>
      <c r="S142" s="244"/>
      <c r="T142" s="244"/>
      <c r="U142" s="244"/>
    </row>
    <row r="143" spans="2:21" ht="12.5">
      <c r="B143" s="145" t="str">
        <f t="shared" si="16"/>
        <v/>
      </c>
      <c r="C143" s="496">
        <f>IF(D94="","-",+C142+1)</f>
        <v>2060</v>
      </c>
      <c r="D143" s="350">
        <f>IF(F142+SUM(E$100:E142)=D$93,F142,D$93-SUM(E$100:E142))</f>
        <v>0</v>
      </c>
      <c r="E143" s="510">
        <f t="shared" si="29"/>
        <v>0</v>
      </c>
      <c r="F143" s="511">
        <f t="shared" si="24"/>
        <v>0</v>
      </c>
      <c r="G143" s="511">
        <f t="shared" si="25"/>
        <v>0</v>
      </c>
      <c r="H143" s="645">
        <f t="shared" si="26"/>
        <v>0</v>
      </c>
      <c r="I143" s="573">
        <f t="shared" si="27"/>
        <v>0</v>
      </c>
      <c r="J143" s="505">
        <f t="shared" si="18"/>
        <v>0</v>
      </c>
      <c r="K143" s="505"/>
      <c r="L143" s="513"/>
      <c r="M143" s="505">
        <f t="shared" si="28"/>
        <v>0</v>
      </c>
      <c r="N143" s="513"/>
      <c r="O143" s="505">
        <f t="shared" si="19"/>
        <v>0</v>
      </c>
      <c r="P143" s="505">
        <f t="shared" si="20"/>
        <v>0</v>
      </c>
      <c r="Q143" s="244"/>
      <c r="R143" s="244"/>
      <c r="S143" s="244"/>
      <c r="T143" s="244"/>
      <c r="U143" s="244"/>
    </row>
    <row r="144" spans="2:21" ht="12.5">
      <c r="B144" s="145" t="str">
        <f t="shared" si="16"/>
        <v/>
      </c>
      <c r="C144" s="496">
        <f>IF(D94="","-",+C143+1)</f>
        <v>2061</v>
      </c>
      <c r="D144" s="350">
        <f>IF(F143+SUM(E$100:E143)=D$93,F143,D$93-SUM(E$100:E143))</f>
        <v>0</v>
      </c>
      <c r="E144" s="510">
        <f t="shared" si="29"/>
        <v>0</v>
      </c>
      <c r="F144" s="511">
        <f t="shared" si="24"/>
        <v>0</v>
      </c>
      <c r="G144" s="511">
        <f t="shared" si="25"/>
        <v>0</v>
      </c>
      <c r="H144" s="645">
        <f t="shared" si="26"/>
        <v>0</v>
      </c>
      <c r="I144" s="573">
        <f t="shared" si="27"/>
        <v>0</v>
      </c>
      <c r="J144" s="505">
        <f t="shared" si="18"/>
        <v>0</v>
      </c>
      <c r="K144" s="505"/>
      <c r="L144" s="513"/>
      <c r="M144" s="505">
        <f t="shared" si="28"/>
        <v>0</v>
      </c>
      <c r="N144" s="513"/>
      <c r="O144" s="505">
        <f t="shared" si="19"/>
        <v>0</v>
      </c>
      <c r="P144" s="505">
        <f t="shared" si="20"/>
        <v>0</v>
      </c>
      <c r="Q144" s="244"/>
      <c r="R144" s="244"/>
      <c r="S144" s="244"/>
      <c r="T144" s="244"/>
      <c r="U144" s="244"/>
    </row>
    <row r="145" spans="2:21" ht="12.5">
      <c r="B145" s="145" t="str">
        <f t="shared" si="16"/>
        <v/>
      </c>
      <c r="C145" s="496">
        <f>IF(D94="","-",+C144+1)</f>
        <v>2062</v>
      </c>
      <c r="D145" s="350">
        <f>IF(F144+SUM(E$100:E144)=D$93,F144,D$93-SUM(E$100:E144))</f>
        <v>0</v>
      </c>
      <c r="E145" s="510">
        <f t="shared" si="29"/>
        <v>0</v>
      </c>
      <c r="F145" s="511">
        <f t="shared" si="24"/>
        <v>0</v>
      </c>
      <c r="G145" s="511">
        <f t="shared" si="25"/>
        <v>0</v>
      </c>
      <c r="H145" s="645">
        <f t="shared" si="26"/>
        <v>0</v>
      </c>
      <c r="I145" s="573">
        <f t="shared" si="27"/>
        <v>0</v>
      </c>
      <c r="J145" s="505">
        <f t="shared" si="18"/>
        <v>0</v>
      </c>
      <c r="K145" s="505"/>
      <c r="L145" s="513"/>
      <c r="M145" s="505">
        <f t="shared" si="28"/>
        <v>0</v>
      </c>
      <c r="N145" s="513"/>
      <c r="O145" s="505">
        <f t="shared" si="19"/>
        <v>0</v>
      </c>
      <c r="P145" s="505">
        <f t="shared" si="20"/>
        <v>0</v>
      </c>
      <c r="Q145" s="244"/>
      <c r="R145" s="244"/>
      <c r="S145" s="244"/>
      <c r="T145" s="244"/>
      <c r="U145" s="244"/>
    </row>
    <row r="146" spans="2:21" ht="12.5">
      <c r="B146" s="145" t="str">
        <f t="shared" si="16"/>
        <v/>
      </c>
      <c r="C146" s="496">
        <f>IF(D94="","-",+C145+1)</f>
        <v>2063</v>
      </c>
      <c r="D146" s="350">
        <f>IF(F145+SUM(E$100:E145)=D$93,F145,D$93-SUM(E$100:E145))</f>
        <v>0</v>
      </c>
      <c r="E146" s="510">
        <f t="shared" si="29"/>
        <v>0</v>
      </c>
      <c r="F146" s="511">
        <f t="shared" si="24"/>
        <v>0</v>
      </c>
      <c r="G146" s="511">
        <f t="shared" si="25"/>
        <v>0</v>
      </c>
      <c r="H146" s="645">
        <f t="shared" si="26"/>
        <v>0</v>
      </c>
      <c r="I146" s="573">
        <f t="shared" si="27"/>
        <v>0</v>
      </c>
      <c r="J146" s="505">
        <f t="shared" si="18"/>
        <v>0</v>
      </c>
      <c r="K146" s="505"/>
      <c r="L146" s="513"/>
      <c r="M146" s="505">
        <f t="shared" si="28"/>
        <v>0</v>
      </c>
      <c r="N146" s="513"/>
      <c r="O146" s="505">
        <f t="shared" si="19"/>
        <v>0</v>
      </c>
      <c r="P146" s="505">
        <f t="shared" si="20"/>
        <v>0</v>
      </c>
      <c r="Q146" s="244"/>
      <c r="R146" s="244"/>
      <c r="S146" s="244"/>
      <c r="T146" s="244"/>
      <c r="U146" s="244"/>
    </row>
    <row r="147" spans="2:21" ht="12.5">
      <c r="B147" s="145" t="str">
        <f t="shared" si="16"/>
        <v/>
      </c>
      <c r="C147" s="496">
        <f>IF(D94="","-",+C146+1)</f>
        <v>2064</v>
      </c>
      <c r="D147" s="350">
        <f>IF(F146+SUM(E$100:E146)=D$93,F146,D$93-SUM(E$100:E146))</f>
        <v>0</v>
      </c>
      <c r="E147" s="510">
        <f t="shared" si="29"/>
        <v>0</v>
      </c>
      <c r="F147" s="511">
        <f t="shared" si="24"/>
        <v>0</v>
      </c>
      <c r="G147" s="511">
        <f t="shared" si="25"/>
        <v>0</v>
      </c>
      <c r="H147" s="645">
        <f t="shared" si="26"/>
        <v>0</v>
      </c>
      <c r="I147" s="573">
        <f t="shared" si="27"/>
        <v>0</v>
      </c>
      <c r="J147" s="505">
        <f t="shared" si="18"/>
        <v>0</v>
      </c>
      <c r="K147" s="505"/>
      <c r="L147" s="513"/>
      <c r="M147" s="505">
        <f t="shared" si="28"/>
        <v>0</v>
      </c>
      <c r="N147" s="513"/>
      <c r="O147" s="505">
        <f t="shared" si="19"/>
        <v>0</v>
      </c>
      <c r="P147" s="505">
        <f t="shared" si="20"/>
        <v>0</v>
      </c>
      <c r="Q147" s="244"/>
      <c r="R147" s="244"/>
      <c r="S147" s="244"/>
      <c r="T147" s="244"/>
      <c r="U147" s="244"/>
    </row>
    <row r="148" spans="2:21" ht="12.5">
      <c r="B148" s="145" t="str">
        <f t="shared" si="16"/>
        <v/>
      </c>
      <c r="C148" s="496">
        <f>IF(D94="","-",+C147+1)</f>
        <v>2065</v>
      </c>
      <c r="D148" s="350">
        <f>IF(F147+SUM(E$100:E147)=D$93,F147,D$93-SUM(E$100:E147))</f>
        <v>0</v>
      </c>
      <c r="E148" s="510">
        <f t="shared" si="29"/>
        <v>0</v>
      </c>
      <c r="F148" s="511">
        <f t="shared" si="24"/>
        <v>0</v>
      </c>
      <c r="G148" s="511">
        <f t="shared" si="25"/>
        <v>0</v>
      </c>
      <c r="H148" s="645">
        <f t="shared" si="26"/>
        <v>0</v>
      </c>
      <c r="I148" s="573">
        <f t="shared" si="27"/>
        <v>0</v>
      </c>
      <c r="J148" s="505">
        <f t="shared" si="18"/>
        <v>0</v>
      </c>
      <c r="K148" s="505"/>
      <c r="L148" s="513"/>
      <c r="M148" s="505">
        <f t="shared" si="28"/>
        <v>0</v>
      </c>
      <c r="N148" s="513"/>
      <c r="O148" s="505">
        <f t="shared" si="19"/>
        <v>0</v>
      </c>
      <c r="P148" s="505">
        <f t="shared" si="20"/>
        <v>0</v>
      </c>
      <c r="Q148" s="244"/>
      <c r="R148" s="244"/>
      <c r="S148" s="244"/>
      <c r="T148" s="244"/>
      <c r="U148" s="244"/>
    </row>
    <row r="149" spans="2:21" ht="12.5">
      <c r="B149" s="145" t="str">
        <f t="shared" si="16"/>
        <v/>
      </c>
      <c r="C149" s="496">
        <f>IF(D94="","-",+C148+1)</f>
        <v>2066</v>
      </c>
      <c r="D149" s="350">
        <f>IF(F148+SUM(E$100:E148)=D$93,F148,D$93-SUM(E$100:E148))</f>
        <v>0</v>
      </c>
      <c r="E149" s="510">
        <f t="shared" si="29"/>
        <v>0</v>
      </c>
      <c r="F149" s="511">
        <f t="shared" si="24"/>
        <v>0</v>
      </c>
      <c r="G149" s="511">
        <f t="shared" si="25"/>
        <v>0</v>
      </c>
      <c r="H149" s="645">
        <f t="shared" si="26"/>
        <v>0</v>
      </c>
      <c r="I149" s="573">
        <f t="shared" si="27"/>
        <v>0</v>
      </c>
      <c r="J149" s="505">
        <f t="shared" si="18"/>
        <v>0</v>
      </c>
      <c r="K149" s="505"/>
      <c r="L149" s="513"/>
      <c r="M149" s="505">
        <f t="shared" si="28"/>
        <v>0</v>
      </c>
      <c r="N149" s="513"/>
      <c r="O149" s="505">
        <f t="shared" si="19"/>
        <v>0</v>
      </c>
      <c r="P149" s="505">
        <f t="shared" si="20"/>
        <v>0</v>
      </c>
      <c r="Q149" s="244"/>
      <c r="R149" s="244"/>
      <c r="S149" s="244"/>
      <c r="T149" s="244"/>
      <c r="U149" s="244"/>
    </row>
    <row r="150" spans="2:21" ht="12.5">
      <c r="B150" s="145" t="str">
        <f t="shared" si="16"/>
        <v/>
      </c>
      <c r="C150" s="496">
        <f>IF(D94="","-",+C149+1)</f>
        <v>2067</v>
      </c>
      <c r="D150" s="350">
        <f>IF(F149+SUM(E$100:E149)=D$93,F149,D$93-SUM(E$100:E149))</f>
        <v>0</v>
      </c>
      <c r="E150" s="510">
        <f t="shared" si="29"/>
        <v>0</v>
      </c>
      <c r="F150" s="511">
        <f t="shared" si="24"/>
        <v>0</v>
      </c>
      <c r="G150" s="511">
        <f t="shared" si="25"/>
        <v>0</v>
      </c>
      <c r="H150" s="645">
        <f t="shared" si="26"/>
        <v>0</v>
      </c>
      <c r="I150" s="573">
        <f t="shared" si="27"/>
        <v>0</v>
      </c>
      <c r="J150" s="505">
        <f t="shared" si="18"/>
        <v>0</v>
      </c>
      <c r="K150" s="505"/>
      <c r="L150" s="513"/>
      <c r="M150" s="505">
        <f t="shared" si="28"/>
        <v>0</v>
      </c>
      <c r="N150" s="513"/>
      <c r="O150" s="505">
        <f t="shared" si="19"/>
        <v>0</v>
      </c>
      <c r="P150" s="505">
        <f t="shared" si="20"/>
        <v>0</v>
      </c>
      <c r="Q150" s="244"/>
      <c r="R150" s="244"/>
      <c r="S150" s="244"/>
      <c r="T150" s="244"/>
      <c r="U150" s="244"/>
    </row>
    <row r="151" spans="2:21" ht="12.5">
      <c r="B151" s="145" t="str">
        <f t="shared" si="16"/>
        <v/>
      </c>
      <c r="C151" s="496">
        <f>IF(D94="","-",+C150+1)</f>
        <v>2068</v>
      </c>
      <c r="D151" s="350">
        <f>IF(F150+SUM(E$100:E150)=D$93,F150,D$93-SUM(E$100:E150))</f>
        <v>0</v>
      </c>
      <c r="E151" s="510">
        <f t="shared" si="29"/>
        <v>0</v>
      </c>
      <c r="F151" s="511">
        <f t="shared" si="24"/>
        <v>0</v>
      </c>
      <c r="G151" s="511">
        <f t="shared" si="25"/>
        <v>0</v>
      </c>
      <c r="H151" s="645">
        <f t="shared" si="26"/>
        <v>0</v>
      </c>
      <c r="I151" s="573">
        <f t="shared" si="27"/>
        <v>0</v>
      </c>
      <c r="J151" s="505">
        <f t="shared" si="18"/>
        <v>0</v>
      </c>
      <c r="K151" s="505"/>
      <c r="L151" s="513"/>
      <c r="M151" s="505">
        <f t="shared" si="28"/>
        <v>0</v>
      </c>
      <c r="N151" s="513"/>
      <c r="O151" s="505">
        <f t="shared" si="19"/>
        <v>0</v>
      </c>
      <c r="P151" s="505">
        <f t="shared" si="20"/>
        <v>0</v>
      </c>
      <c r="Q151" s="244"/>
      <c r="R151" s="244"/>
      <c r="S151" s="244"/>
      <c r="T151" s="244"/>
      <c r="U151" s="244"/>
    </row>
    <row r="152" spans="2:21" ht="12.5">
      <c r="B152" s="145" t="str">
        <f t="shared" si="16"/>
        <v/>
      </c>
      <c r="C152" s="496">
        <f>IF(D94="","-",+C151+1)</f>
        <v>2069</v>
      </c>
      <c r="D152" s="350">
        <f>IF(F151+SUM(E$100:E151)=D$93,F151,D$93-SUM(E$100:E151))</f>
        <v>0</v>
      </c>
      <c r="E152" s="510">
        <f t="shared" si="29"/>
        <v>0</v>
      </c>
      <c r="F152" s="511">
        <f t="shared" si="24"/>
        <v>0</v>
      </c>
      <c r="G152" s="511">
        <f t="shared" si="25"/>
        <v>0</v>
      </c>
      <c r="H152" s="645">
        <f t="shared" si="26"/>
        <v>0</v>
      </c>
      <c r="I152" s="573">
        <f t="shared" si="27"/>
        <v>0</v>
      </c>
      <c r="J152" s="505">
        <f t="shared" si="18"/>
        <v>0</v>
      </c>
      <c r="K152" s="505"/>
      <c r="L152" s="513"/>
      <c r="M152" s="505">
        <f t="shared" si="28"/>
        <v>0</v>
      </c>
      <c r="N152" s="513"/>
      <c r="O152" s="505">
        <f t="shared" si="19"/>
        <v>0</v>
      </c>
      <c r="P152" s="505">
        <f t="shared" si="20"/>
        <v>0</v>
      </c>
      <c r="Q152" s="244"/>
      <c r="R152" s="244"/>
      <c r="S152" s="244"/>
      <c r="T152" s="244"/>
      <c r="U152" s="244"/>
    </row>
    <row r="153" spans="2:21" ht="12.5">
      <c r="B153" s="145" t="str">
        <f t="shared" si="16"/>
        <v/>
      </c>
      <c r="C153" s="496">
        <f>IF(D94="","-",+C152+1)</f>
        <v>2070</v>
      </c>
      <c r="D153" s="350">
        <f>IF(F152+SUM(E$100:E152)=D$93,F152,D$93-SUM(E$100:E152))</f>
        <v>0</v>
      </c>
      <c r="E153" s="510">
        <f t="shared" si="29"/>
        <v>0</v>
      </c>
      <c r="F153" s="511">
        <f t="shared" si="24"/>
        <v>0</v>
      </c>
      <c r="G153" s="511">
        <f t="shared" si="25"/>
        <v>0</v>
      </c>
      <c r="H153" s="645">
        <f t="shared" si="26"/>
        <v>0</v>
      </c>
      <c r="I153" s="573">
        <f t="shared" si="27"/>
        <v>0</v>
      </c>
      <c r="J153" s="505">
        <f t="shared" si="18"/>
        <v>0</v>
      </c>
      <c r="K153" s="505"/>
      <c r="L153" s="513"/>
      <c r="M153" s="505">
        <f t="shared" si="28"/>
        <v>0</v>
      </c>
      <c r="N153" s="513"/>
      <c r="O153" s="505">
        <f t="shared" si="19"/>
        <v>0</v>
      </c>
      <c r="P153" s="505">
        <f t="shared" si="20"/>
        <v>0</v>
      </c>
      <c r="Q153" s="244"/>
      <c r="R153" s="244"/>
      <c r="S153" s="244"/>
      <c r="T153" s="244"/>
      <c r="U153" s="244"/>
    </row>
    <row r="154" spans="2:21" ht="12.5">
      <c r="B154" s="145" t="str">
        <f t="shared" si="16"/>
        <v/>
      </c>
      <c r="C154" s="496">
        <f>IF(D94="","-",+C153+1)</f>
        <v>2071</v>
      </c>
      <c r="D154" s="350">
        <f>IF(F153+SUM(E$100:E153)=D$93,F153,D$93-SUM(E$100:E153))</f>
        <v>0</v>
      </c>
      <c r="E154" s="510">
        <f t="shared" si="29"/>
        <v>0</v>
      </c>
      <c r="F154" s="511">
        <f t="shared" si="24"/>
        <v>0</v>
      </c>
      <c r="G154" s="511">
        <f t="shared" si="25"/>
        <v>0</v>
      </c>
      <c r="H154" s="645">
        <f t="shared" si="26"/>
        <v>0</v>
      </c>
      <c r="I154" s="573">
        <f t="shared" si="27"/>
        <v>0</v>
      </c>
      <c r="J154" s="505">
        <f t="shared" si="18"/>
        <v>0</v>
      </c>
      <c r="K154" s="505"/>
      <c r="L154" s="513"/>
      <c r="M154" s="505">
        <f t="shared" si="28"/>
        <v>0</v>
      </c>
      <c r="N154" s="513"/>
      <c r="O154" s="505">
        <f t="shared" si="19"/>
        <v>0</v>
      </c>
      <c r="P154" s="505">
        <f t="shared" si="20"/>
        <v>0</v>
      </c>
      <c r="Q154" s="244"/>
      <c r="R154" s="244"/>
      <c r="S154" s="244"/>
      <c r="T154" s="244"/>
      <c r="U154" s="244"/>
    </row>
    <row r="155" spans="2:21" ht="13" thickBot="1">
      <c r="B155" s="145" t="str">
        <f t="shared" si="16"/>
        <v/>
      </c>
      <c r="C155" s="525">
        <f>IF(D94="","-",+C154+1)</f>
        <v>2072</v>
      </c>
      <c r="D155" s="528">
        <f>IF(F154+SUM(E$100:E154)=D$93,F154,D$93-SUM(E$100:E154))</f>
        <v>0</v>
      </c>
      <c r="E155" s="527">
        <f t="shared" si="29"/>
        <v>0</v>
      </c>
      <c r="F155" s="528">
        <f t="shared" si="24"/>
        <v>0</v>
      </c>
      <c r="G155" s="528">
        <f t="shared" si="25"/>
        <v>0</v>
      </c>
      <c r="H155" s="645">
        <f t="shared" si="26"/>
        <v>0</v>
      </c>
      <c r="I155" s="574">
        <f t="shared" si="27"/>
        <v>0</v>
      </c>
      <c r="J155" s="532">
        <f t="shared" si="18"/>
        <v>0</v>
      </c>
      <c r="K155" s="505"/>
      <c r="L155" s="531"/>
      <c r="M155" s="532">
        <f t="shared" si="28"/>
        <v>0</v>
      </c>
      <c r="N155" s="531"/>
      <c r="O155" s="532">
        <f t="shared" si="19"/>
        <v>0</v>
      </c>
      <c r="P155" s="532">
        <f t="shared" si="20"/>
        <v>0</v>
      </c>
      <c r="Q155" s="244"/>
      <c r="R155" s="244"/>
      <c r="S155" s="244"/>
      <c r="T155" s="244"/>
      <c r="U155" s="244"/>
    </row>
    <row r="156" spans="2:21" ht="12.5">
      <c r="C156" s="350" t="s">
        <v>75</v>
      </c>
      <c r="D156" s="295"/>
      <c r="E156" s="295">
        <f>SUM(E100:E155)</f>
        <v>11056565.360000003</v>
      </c>
      <c r="F156" s="295"/>
      <c r="G156" s="295"/>
      <c r="H156" s="295">
        <f>SUM(H100:H155)</f>
        <v>24749073.149904806</v>
      </c>
      <c r="I156" s="295">
        <f>SUM(I100:I155)</f>
        <v>24749073.149904806</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conditionalFormatting sqref="C17:C31 C34:C40 C44:C73">
    <cfRule type="cellIs" dxfId="31" priority="4" stopIfTrue="1" operator="equal">
      <formula>$I$10</formula>
    </cfRule>
  </conditionalFormatting>
  <conditionalFormatting sqref="C100:C155">
    <cfRule type="cellIs" dxfId="30" priority="5" stopIfTrue="1" operator="equal">
      <formula>$J$93</formula>
    </cfRule>
  </conditionalFormatting>
  <conditionalFormatting sqref="C32">
    <cfRule type="cellIs" dxfId="29" priority="3" stopIfTrue="1" operator="equal">
      <formula>$I$10</formula>
    </cfRule>
  </conditionalFormatting>
  <conditionalFormatting sqref="C33">
    <cfRule type="cellIs" dxfId="28" priority="2" stopIfTrue="1" operator="equal">
      <formula>$I$10</formula>
    </cfRule>
  </conditionalFormatting>
  <conditionalFormatting sqref="C41:C43">
    <cfRule type="cellIs" dxfId="27" priority="1" stopIfTrue="1" operator="equal">
      <formula>$I$10</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7"/>
  <dimension ref="A1:P163"/>
  <sheetViews>
    <sheetView topLeftCell="A59" zoomScale="85" zoomScaleNormal="85"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16 of 23</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1251677.6661612696</v>
      </c>
      <c r="P5" s="244"/>
    </row>
    <row r="6" spans="1:16" ht="15.5">
      <c r="C6" s="236"/>
      <c r="D6" s="293"/>
      <c r="E6" s="244"/>
      <c r="F6" s="244"/>
      <c r="G6" s="244"/>
      <c r="H6" s="450"/>
      <c r="I6" s="450"/>
      <c r="J6" s="451"/>
      <c r="K6" s="452" t="s">
        <v>243</v>
      </c>
      <c r="L6" s="453"/>
      <c r="M6" s="279"/>
      <c r="N6" s="454">
        <f>VLOOKUP(I10,C17:I73,6)</f>
        <v>1251677.6661612696</v>
      </c>
      <c r="O6" s="244"/>
      <c r="P6" s="244"/>
    </row>
    <row r="7" spans="1:16" ht="13.5" thickBot="1">
      <c r="C7" s="455" t="s">
        <v>46</v>
      </c>
      <c r="D7" s="635" t="s">
        <v>246</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262</v>
      </c>
      <c r="E9" s="466"/>
      <c r="F9" s="466"/>
      <c r="G9" s="466"/>
      <c r="H9" s="466"/>
      <c r="I9" s="467"/>
      <c r="J9" s="468"/>
      <c r="O9" s="469"/>
      <c r="P9" s="279"/>
    </row>
    <row r="10" spans="1:16" ht="13">
      <c r="C10" s="470" t="s">
        <v>49</v>
      </c>
      <c r="D10" s="471">
        <v>9653726.4200000018</v>
      </c>
      <c r="E10" s="300" t="s">
        <v>50</v>
      </c>
      <c r="F10" s="469"/>
      <c r="G10" s="409"/>
      <c r="H10" s="409"/>
      <c r="I10" s="472">
        <f>+'OKT.WS.F.BPU.ATRR.Projected'!R100</f>
        <v>2022</v>
      </c>
      <c r="J10" s="468"/>
      <c r="K10" s="295" t="s">
        <v>51</v>
      </c>
      <c r="O10" s="279"/>
      <c r="P10" s="279"/>
    </row>
    <row r="11" spans="1:16" ht="12.5">
      <c r="C11" s="473" t="s">
        <v>52</v>
      </c>
      <c r="D11" s="474">
        <v>2017</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7</v>
      </c>
      <c r="E12" s="473" t="s">
        <v>55</v>
      </c>
      <c r="F12" s="409"/>
      <c r="G12" s="221"/>
      <c r="H12" s="221"/>
      <c r="I12" s="477">
        <f>'OKT.WS.F.BPU.ATRR.Projected'!$F$78</f>
        <v>0.11475877389767174</v>
      </c>
      <c r="J12" s="414"/>
      <c r="K12" s="145" t="s">
        <v>56</v>
      </c>
      <c r="O12" s="279"/>
      <c r="P12" s="279"/>
    </row>
    <row r="13" spans="1:16"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row>
    <row r="14" spans="1:16" ht="13" thickBot="1">
      <c r="C14" s="473" t="s">
        <v>60</v>
      </c>
      <c r="D14" s="474" t="s">
        <v>61</v>
      </c>
      <c r="E14" s="279" t="s">
        <v>62</v>
      </c>
      <c r="F14" s="409"/>
      <c r="G14" s="221"/>
      <c r="H14" s="221"/>
      <c r="I14" s="478">
        <f>IF(D10=0,0,D10/D13)</f>
        <v>292537.1642424243</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2017</v>
      </c>
      <c r="D17" s="613">
        <v>0</v>
      </c>
      <c r="E17" s="621">
        <v>72904.982539658653</v>
      </c>
      <c r="F17" s="613">
        <v>8826095.0174603406</v>
      </c>
      <c r="G17" s="621">
        <v>558075.303653282</v>
      </c>
      <c r="H17" s="618">
        <v>558075.303653282</v>
      </c>
      <c r="I17" s="501">
        <f>H17-G17</f>
        <v>0</v>
      </c>
      <c r="J17" s="501"/>
      <c r="K17" s="502">
        <f t="shared" ref="K17:K22" si="1">+G17</f>
        <v>558075.303653282</v>
      </c>
      <c r="L17" s="504">
        <f t="shared" ref="L17:L71" si="2">IF(K17&lt;&gt;0,+G17-K17,0)</f>
        <v>0</v>
      </c>
      <c r="M17" s="502">
        <f t="shared" ref="M17:M22" si="3">+H17</f>
        <v>558075.303653282</v>
      </c>
      <c r="N17" s="504">
        <f t="shared" ref="N17:N71" si="4">IF(M17&lt;&gt;0,+H17-M17,0)</f>
        <v>0</v>
      </c>
      <c r="O17" s="505">
        <f t="shared" ref="O17:O71" si="5">+N17-L17</f>
        <v>0</v>
      </c>
      <c r="P17" s="279"/>
    </row>
    <row r="18" spans="2:16" ht="12.5">
      <c r="B18" s="145" t="str">
        <f t="shared" si="0"/>
        <v/>
      </c>
      <c r="C18" s="496">
        <f>IF(D11="","-",+C17+1)</f>
        <v>2018</v>
      </c>
      <c r="D18" s="615">
        <v>8826095.0174603406</v>
      </c>
      <c r="E18" s="614">
        <v>218244.25465113699</v>
      </c>
      <c r="F18" s="615">
        <v>8607850.7628092039</v>
      </c>
      <c r="G18" s="614">
        <v>1104094.8534187796</v>
      </c>
      <c r="H18" s="618">
        <v>1104094.8534187796</v>
      </c>
      <c r="I18" s="501">
        <f t="shared" ref="I18:I71" si="6">H18-G18</f>
        <v>0</v>
      </c>
      <c r="J18" s="501"/>
      <c r="K18" s="593">
        <f t="shared" si="1"/>
        <v>1104094.8534187796</v>
      </c>
      <c r="L18" s="597">
        <f t="shared" si="2"/>
        <v>0</v>
      </c>
      <c r="M18" s="593">
        <f t="shared" si="3"/>
        <v>1104094.8534187796</v>
      </c>
      <c r="N18" s="505">
        <f t="shared" si="4"/>
        <v>0</v>
      </c>
      <c r="O18" s="505">
        <f t="shared" si="5"/>
        <v>0</v>
      </c>
      <c r="P18" s="279"/>
    </row>
    <row r="19" spans="2:16" ht="12.5">
      <c r="B19" s="145" t="str">
        <f t="shared" si="0"/>
        <v/>
      </c>
      <c r="C19" s="496">
        <f>IF(D11="","-",+C18+1)</f>
        <v>2019</v>
      </c>
      <c r="D19" s="615">
        <v>8607850.7628092039</v>
      </c>
      <c r="E19" s="614">
        <v>263934.0787603631</v>
      </c>
      <c r="F19" s="615">
        <v>8343916.6840488408</v>
      </c>
      <c r="G19" s="614">
        <v>1144883.2286713799</v>
      </c>
      <c r="H19" s="618">
        <v>1144883.2286713799</v>
      </c>
      <c r="I19" s="501">
        <f t="shared" si="6"/>
        <v>0</v>
      </c>
      <c r="J19" s="501"/>
      <c r="K19" s="593">
        <f t="shared" si="1"/>
        <v>1144883.2286713799</v>
      </c>
      <c r="L19" s="597">
        <f t="shared" ref="L19" si="7">IF(K19&lt;&gt;0,+G19-K19,0)</f>
        <v>0</v>
      </c>
      <c r="M19" s="593">
        <f t="shared" si="3"/>
        <v>1144883.2286713799</v>
      </c>
      <c r="N19" s="505">
        <f t="shared" ref="N19" si="8">IF(M19&lt;&gt;0,+H19-M19,0)</f>
        <v>0</v>
      </c>
      <c r="O19" s="505">
        <f t="shared" ref="O19" si="9">+N19-L19</f>
        <v>0</v>
      </c>
      <c r="P19" s="279"/>
    </row>
    <row r="20" spans="2:16" ht="12.5">
      <c r="B20" s="145" t="str">
        <f t="shared" si="0"/>
        <v>IU</v>
      </c>
      <c r="C20" s="496">
        <f>IF(D11="","-",+C19+1)</f>
        <v>2020</v>
      </c>
      <c r="D20" s="615">
        <v>9147876.5081580672</v>
      </c>
      <c r="E20" s="614">
        <v>282782.06007850129</v>
      </c>
      <c r="F20" s="615">
        <v>8865094.4480795655</v>
      </c>
      <c r="G20" s="614">
        <v>1227854.794149773</v>
      </c>
      <c r="H20" s="618">
        <v>1227854.794149773</v>
      </c>
      <c r="I20" s="501">
        <f t="shared" si="6"/>
        <v>0</v>
      </c>
      <c r="J20" s="501"/>
      <c r="K20" s="593">
        <f t="shared" si="1"/>
        <v>1227854.794149773</v>
      </c>
      <c r="L20" s="597">
        <f t="shared" ref="L20" si="10">IF(K20&lt;&gt;0,+G20-K20,0)</f>
        <v>0</v>
      </c>
      <c r="M20" s="593">
        <f t="shared" si="3"/>
        <v>1227854.794149773</v>
      </c>
      <c r="N20" s="505">
        <f t="shared" si="4"/>
        <v>0</v>
      </c>
      <c r="O20" s="505">
        <f t="shared" si="5"/>
        <v>0</v>
      </c>
      <c r="P20" s="279"/>
    </row>
    <row r="21" spans="2:16" ht="12.5">
      <c r="B21" s="145" t="str">
        <f t="shared" si="0"/>
        <v>IU</v>
      </c>
      <c r="C21" s="496">
        <f>IF(D11="","-",+C20+1)</f>
        <v>2021</v>
      </c>
      <c r="D21" s="615">
        <v>8825085.6239703409</v>
      </c>
      <c r="E21" s="614">
        <v>311708.09677419357</v>
      </c>
      <c r="F21" s="615">
        <v>8513377.5271961465</v>
      </c>
      <c r="G21" s="614">
        <v>1249589.4972268606</v>
      </c>
      <c r="H21" s="618">
        <v>1249589.4972268606</v>
      </c>
      <c r="I21" s="501">
        <f t="shared" si="6"/>
        <v>0</v>
      </c>
      <c r="J21" s="501"/>
      <c r="K21" s="593">
        <f t="shared" si="1"/>
        <v>1249589.4972268606</v>
      </c>
      <c r="L21" s="597">
        <f t="shared" ref="L21" si="11">IF(K21&lt;&gt;0,+G21-K21,0)</f>
        <v>0</v>
      </c>
      <c r="M21" s="593">
        <f t="shared" si="3"/>
        <v>1249589.4972268606</v>
      </c>
      <c r="N21" s="505">
        <f t="shared" si="4"/>
        <v>0</v>
      </c>
      <c r="O21" s="505">
        <f t="shared" si="5"/>
        <v>0</v>
      </c>
      <c r="P21" s="279"/>
    </row>
    <row r="22" spans="2:16" ht="12.5">
      <c r="B22" s="145" t="str">
        <f t="shared" si="0"/>
        <v>IU</v>
      </c>
      <c r="C22" s="496">
        <f>IF(D11="","-",+C21+1)</f>
        <v>2022</v>
      </c>
      <c r="D22" s="615">
        <v>8504152.5271961465</v>
      </c>
      <c r="E22" s="614">
        <v>292537.15151515149</v>
      </c>
      <c r="F22" s="615">
        <v>8211615.3756809952</v>
      </c>
      <c r="G22" s="614">
        <v>1251677.6661612696</v>
      </c>
      <c r="H22" s="618">
        <v>1251677.6661612696</v>
      </c>
      <c r="I22" s="501">
        <f t="shared" si="6"/>
        <v>0</v>
      </c>
      <c r="J22" s="501"/>
      <c r="K22" s="593">
        <f t="shared" si="1"/>
        <v>1251677.6661612696</v>
      </c>
      <c r="L22" s="597">
        <f t="shared" ref="L22" si="12">IF(K22&lt;&gt;0,+G22-K22,0)</f>
        <v>0</v>
      </c>
      <c r="M22" s="593">
        <f t="shared" si="3"/>
        <v>1251677.6661612696</v>
      </c>
      <c r="N22" s="505">
        <f t="shared" si="4"/>
        <v>0</v>
      </c>
      <c r="O22" s="505">
        <f t="shared" si="5"/>
        <v>0</v>
      </c>
      <c r="P22" s="279"/>
    </row>
    <row r="23" spans="2:16" ht="12.5">
      <c r="B23" s="145" t="str">
        <f t="shared" si="0"/>
        <v>IU</v>
      </c>
      <c r="C23" s="496">
        <f>IF(D11="","-",+C22+1)</f>
        <v>2023</v>
      </c>
      <c r="D23" s="615">
        <v>8211615.795680997</v>
      </c>
      <c r="E23" s="614">
        <v>311410.5296774194</v>
      </c>
      <c r="F23" s="615">
        <v>7900205.266003578</v>
      </c>
      <c r="G23" s="614">
        <v>1221993.0968940321</v>
      </c>
      <c r="H23" s="618">
        <v>1221993.0968940321</v>
      </c>
      <c r="I23" s="501">
        <f t="shared" si="6"/>
        <v>0</v>
      </c>
      <c r="J23" s="501"/>
      <c r="K23" s="593">
        <f t="shared" ref="K23" si="13">+G23</f>
        <v>1221993.0968940321</v>
      </c>
      <c r="L23" s="597">
        <f t="shared" ref="L23" si="14">IF(K23&lt;&gt;0,+G23-K23,0)</f>
        <v>0</v>
      </c>
      <c r="M23" s="593">
        <f t="shared" ref="M23" si="15">+H23</f>
        <v>1221993.0968940321</v>
      </c>
      <c r="N23" s="505">
        <f t="shared" si="4"/>
        <v>0</v>
      </c>
      <c r="O23" s="505">
        <f t="shared" si="5"/>
        <v>0</v>
      </c>
      <c r="P23" s="279"/>
    </row>
    <row r="24" spans="2:16" ht="12.5">
      <c r="B24" s="145" t="str">
        <f t="shared" si="0"/>
        <v/>
      </c>
      <c r="C24" s="496">
        <f>IF(D11="","-",+C23+1)</f>
        <v>2024</v>
      </c>
      <c r="D24" s="509">
        <f>IF(F23+SUM(E$17:E23)=D$10,F23,D$10-SUM(E$17:E23))</f>
        <v>7900205.266003578</v>
      </c>
      <c r="E24" s="510">
        <f t="shared" ref="E24:E49" si="16">IF(+I$14&lt;F23,I$14,D24)</f>
        <v>292537.1642424243</v>
      </c>
      <c r="F24" s="511">
        <f t="shared" ref="F24:F71" si="17">+D24-E24</f>
        <v>7607668.1017611539</v>
      </c>
      <c r="G24" s="512">
        <f t="shared" ref="G24:G48" si="18">(D24+F24)/2*I$12+E24</f>
        <v>1182369.4309649433</v>
      </c>
      <c r="H24" s="478">
        <f t="shared" ref="H24:H48" si="19">+(D24+F24)/2*I$13+E24</f>
        <v>1182369.4309649433</v>
      </c>
      <c r="I24" s="501">
        <f t="shared" si="6"/>
        <v>0</v>
      </c>
      <c r="J24" s="501"/>
      <c r="K24" s="513"/>
      <c r="L24" s="505">
        <f t="shared" si="2"/>
        <v>0</v>
      </c>
      <c r="M24" s="513"/>
      <c r="N24" s="505">
        <f t="shared" si="4"/>
        <v>0</v>
      </c>
      <c r="O24" s="505">
        <f t="shared" si="5"/>
        <v>0</v>
      </c>
      <c r="P24" s="279"/>
    </row>
    <row r="25" spans="2:16" ht="12.5">
      <c r="B25" s="145" t="str">
        <f t="shared" si="0"/>
        <v/>
      </c>
      <c r="C25" s="496">
        <f>IF(D11="","-",+C24+1)</f>
        <v>2025</v>
      </c>
      <c r="D25" s="509">
        <f>IF(F24+SUM(E$17:E24)=D$10,F24,D$10-SUM(E$17:E24))</f>
        <v>7607668.1017611539</v>
      </c>
      <c r="E25" s="510">
        <f t="shared" si="16"/>
        <v>292537.1642424243</v>
      </c>
      <c r="F25" s="511">
        <f t="shared" si="17"/>
        <v>7315130.9375187298</v>
      </c>
      <c r="G25" s="512">
        <f t="shared" si="18"/>
        <v>1148798.2246769809</v>
      </c>
      <c r="H25" s="478">
        <f t="shared" si="19"/>
        <v>1148798.2246769809</v>
      </c>
      <c r="I25" s="501">
        <f t="shared" si="6"/>
        <v>0</v>
      </c>
      <c r="J25" s="501"/>
      <c r="K25" s="513"/>
      <c r="L25" s="505">
        <f t="shared" si="2"/>
        <v>0</v>
      </c>
      <c r="M25" s="513"/>
      <c r="N25" s="505">
        <f t="shared" si="4"/>
        <v>0</v>
      </c>
      <c r="O25" s="505">
        <f t="shared" si="5"/>
        <v>0</v>
      </c>
      <c r="P25" s="279"/>
    </row>
    <row r="26" spans="2:16" ht="12.5">
      <c r="B26" s="145" t="str">
        <f t="shared" si="0"/>
        <v/>
      </c>
      <c r="C26" s="496">
        <f>IF(D11="","-",+C25+1)</f>
        <v>2026</v>
      </c>
      <c r="D26" s="509">
        <f>IF(F25+SUM(E$17:E25)=D$10,F25,D$10-SUM(E$17:E25))</f>
        <v>7315130.9375187298</v>
      </c>
      <c r="E26" s="510">
        <f t="shared" si="16"/>
        <v>292537.1642424243</v>
      </c>
      <c r="F26" s="511">
        <f t="shared" si="17"/>
        <v>7022593.7732763058</v>
      </c>
      <c r="G26" s="512">
        <f t="shared" si="18"/>
        <v>1115227.0183890185</v>
      </c>
      <c r="H26" s="478">
        <f t="shared" si="19"/>
        <v>1115227.0183890185</v>
      </c>
      <c r="I26" s="501">
        <f t="shared" si="6"/>
        <v>0</v>
      </c>
      <c r="J26" s="501"/>
      <c r="K26" s="513"/>
      <c r="L26" s="505">
        <f t="shared" si="2"/>
        <v>0</v>
      </c>
      <c r="M26" s="513"/>
      <c r="N26" s="505">
        <f t="shared" si="4"/>
        <v>0</v>
      </c>
      <c r="O26" s="505">
        <f t="shared" si="5"/>
        <v>0</v>
      </c>
      <c r="P26" s="279"/>
    </row>
    <row r="27" spans="2:16" ht="12.5">
      <c r="B27" s="145" t="str">
        <f t="shared" si="0"/>
        <v/>
      </c>
      <c r="C27" s="496">
        <f>IF(D11="","-",+C26+1)</f>
        <v>2027</v>
      </c>
      <c r="D27" s="509">
        <f>IF(F26+SUM(E$17:E26)=D$10,F26,D$10-SUM(E$17:E26))</f>
        <v>7022593.7732763058</v>
      </c>
      <c r="E27" s="510">
        <f t="shared" si="16"/>
        <v>292537.1642424243</v>
      </c>
      <c r="F27" s="511">
        <f t="shared" si="17"/>
        <v>6730056.6090338817</v>
      </c>
      <c r="G27" s="512">
        <f t="shared" si="18"/>
        <v>1081655.8121010561</v>
      </c>
      <c r="H27" s="478">
        <f t="shared" si="19"/>
        <v>1081655.8121010561</v>
      </c>
      <c r="I27" s="501">
        <f t="shared" si="6"/>
        <v>0</v>
      </c>
      <c r="J27" s="501"/>
      <c r="K27" s="513"/>
      <c r="L27" s="505">
        <f t="shared" si="2"/>
        <v>0</v>
      </c>
      <c r="M27" s="513"/>
      <c r="N27" s="505">
        <f t="shared" si="4"/>
        <v>0</v>
      </c>
      <c r="O27" s="505">
        <f t="shared" si="5"/>
        <v>0</v>
      </c>
      <c r="P27" s="279"/>
    </row>
    <row r="28" spans="2:16" ht="12.5">
      <c r="B28" s="145" t="str">
        <f t="shared" si="0"/>
        <v/>
      </c>
      <c r="C28" s="496">
        <f>IF(D11="","-",+C27+1)</f>
        <v>2028</v>
      </c>
      <c r="D28" s="509">
        <f>IF(F27+SUM(E$17:E27)=D$10,F27,D$10-SUM(E$17:E27))</f>
        <v>6730056.6090338817</v>
      </c>
      <c r="E28" s="510">
        <f t="shared" si="16"/>
        <v>292537.1642424243</v>
      </c>
      <c r="F28" s="511">
        <f t="shared" si="17"/>
        <v>6437519.4447914576</v>
      </c>
      <c r="G28" s="512">
        <f t="shared" si="18"/>
        <v>1048084.6058130937</v>
      </c>
      <c r="H28" s="478">
        <f t="shared" si="19"/>
        <v>1048084.6058130937</v>
      </c>
      <c r="I28" s="501">
        <f t="shared" si="6"/>
        <v>0</v>
      </c>
      <c r="J28" s="501"/>
      <c r="K28" s="513"/>
      <c r="L28" s="505">
        <f t="shared" si="2"/>
        <v>0</v>
      </c>
      <c r="M28" s="513"/>
      <c r="N28" s="505">
        <f t="shared" si="4"/>
        <v>0</v>
      </c>
      <c r="O28" s="505">
        <f t="shared" si="5"/>
        <v>0</v>
      </c>
      <c r="P28" s="279"/>
    </row>
    <row r="29" spans="2:16" ht="12.5">
      <c r="B29" s="145" t="str">
        <f t="shared" si="0"/>
        <v/>
      </c>
      <c r="C29" s="496">
        <f>IF(D11="","-",+C28+1)</f>
        <v>2029</v>
      </c>
      <c r="D29" s="509">
        <f>IF(F28+SUM(E$17:E28)=D$10,F28,D$10-SUM(E$17:E28))</f>
        <v>6437519.4447914576</v>
      </c>
      <c r="E29" s="510">
        <f t="shared" si="16"/>
        <v>292537.1642424243</v>
      </c>
      <c r="F29" s="511">
        <f t="shared" si="17"/>
        <v>6144982.2805490335</v>
      </c>
      <c r="G29" s="512">
        <f t="shared" si="18"/>
        <v>1014513.3995251313</v>
      </c>
      <c r="H29" s="478">
        <f t="shared" si="19"/>
        <v>1014513.3995251313</v>
      </c>
      <c r="I29" s="501">
        <f t="shared" si="6"/>
        <v>0</v>
      </c>
      <c r="J29" s="501"/>
      <c r="K29" s="513"/>
      <c r="L29" s="505">
        <f t="shared" si="2"/>
        <v>0</v>
      </c>
      <c r="M29" s="513"/>
      <c r="N29" s="505">
        <f t="shared" si="4"/>
        <v>0</v>
      </c>
      <c r="O29" s="505">
        <f t="shared" si="5"/>
        <v>0</v>
      </c>
      <c r="P29" s="279"/>
    </row>
    <row r="30" spans="2:16" ht="12.5">
      <c r="B30" s="145" t="str">
        <f t="shared" si="0"/>
        <v/>
      </c>
      <c r="C30" s="496">
        <f>IF(D11="","-",+C29+1)</f>
        <v>2030</v>
      </c>
      <c r="D30" s="509">
        <f>IF(F29+SUM(E$17:E29)=D$10,F29,D$10-SUM(E$17:E29))</f>
        <v>6144982.2805490335</v>
      </c>
      <c r="E30" s="510">
        <f t="shared" si="16"/>
        <v>292537.1642424243</v>
      </c>
      <c r="F30" s="511">
        <f t="shared" si="17"/>
        <v>5852445.1163066095</v>
      </c>
      <c r="G30" s="512">
        <f t="shared" si="18"/>
        <v>980942.19323716883</v>
      </c>
      <c r="H30" s="478">
        <f t="shared" si="19"/>
        <v>980942.19323716883</v>
      </c>
      <c r="I30" s="501">
        <f t="shared" si="6"/>
        <v>0</v>
      </c>
      <c r="J30" s="501"/>
      <c r="K30" s="513"/>
      <c r="L30" s="505">
        <f t="shared" si="2"/>
        <v>0</v>
      </c>
      <c r="M30" s="513"/>
      <c r="N30" s="505">
        <f t="shared" si="4"/>
        <v>0</v>
      </c>
      <c r="O30" s="505">
        <f t="shared" si="5"/>
        <v>0</v>
      </c>
      <c r="P30" s="279"/>
    </row>
    <row r="31" spans="2:16" ht="12.5">
      <c r="B31" s="145" t="str">
        <f t="shared" si="0"/>
        <v/>
      </c>
      <c r="C31" s="496">
        <f>IF(D11="","-",+C30+1)</f>
        <v>2031</v>
      </c>
      <c r="D31" s="509">
        <f>IF(F30+SUM(E$17:E30)=D$10,F30,D$10-SUM(E$17:E30))</f>
        <v>5852445.1163066095</v>
      </c>
      <c r="E31" s="510">
        <f t="shared" si="16"/>
        <v>292537.1642424243</v>
      </c>
      <c r="F31" s="511">
        <f t="shared" si="17"/>
        <v>5559907.9520641854</v>
      </c>
      <c r="G31" s="512">
        <f t="shared" si="18"/>
        <v>947370.98694920645</v>
      </c>
      <c r="H31" s="478">
        <f t="shared" si="19"/>
        <v>947370.98694920645</v>
      </c>
      <c r="I31" s="501">
        <f t="shared" si="6"/>
        <v>0</v>
      </c>
      <c r="J31" s="501"/>
      <c r="K31" s="513"/>
      <c r="L31" s="505">
        <f t="shared" si="2"/>
        <v>0</v>
      </c>
      <c r="M31" s="513"/>
      <c r="N31" s="505">
        <f t="shared" si="4"/>
        <v>0</v>
      </c>
      <c r="O31" s="505">
        <f t="shared" si="5"/>
        <v>0</v>
      </c>
      <c r="P31" s="279"/>
    </row>
    <row r="32" spans="2:16" ht="12.5">
      <c r="B32" s="145" t="str">
        <f t="shared" si="0"/>
        <v/>
      </c>
      <c r="C32" s="496">
        <f>IF(D11="","-",+C31+1)</f>
        <v>2032</v>
      </c>
      <c r="D32" s="509">
        <f>IF(F31+SUM(E$17:E31)=D$10,F31,D$10-SUM(E$17:E31))</f>
        <v>5559907.9520641854</v>
      </c>
      <c r="E32" s="510">
        <f t="shared" si="16"/>
        <v>292537.1642424243</v>
      </c>
      <c r="F32" s="511">
        <f t="shared" si="17"/>
        <v>5267370.7878217613</v>
      </c>
      <c r="G32" s="512">
        <f t="shared" si="18"/>
        <v>913799.78066124406</v>
      </c>
      <c r="H32" s="478">
        <f t="shared" si="19"/>
        <v>913799.78066124406</v>
      </c>
      <c r="I32" s="501">
        <f t="shared" si="6"/>
        <v>0</v>
      </c>
      <c r="J32" s="501"/>
      <c r="K32" s="513"/>
      <c r="L32" s="505">
        <f t="shared" si="2"/>
        <v>0</v>
      </c>
      <c r="M32" s="513"/>
      <c r="N32" s="505">
        <f t="shared" si="4"/>
        <v>0</v>
      </c>
      <c r="O32" s="505">
        <f t="shared" si="5"/>
        <v>0</v>
      </c>
      <c r="P32" s="279"/>
    </row>
    <row r="33" spans="2:16" ht="12.5">
      <c r="B33" s="145" t="str">
        <f t="shared" si="0"/>
        <v/>
      </c>
      <c r="C33" s="496">
        <f>IF(D11="","-",+C32+1)</f>
        <v>2033</v>
      </c>
      <c r="D33" s="509">
        <f>IF(F32+SUM(E$17:E32)=D$10,F32,D$10-SUM(E$17:E32))</f>
        <v>5267370.7878217613</v>
      </c>
      <c r="E33" s="510">
        <f t="shared" si="16"/>
        <v>292537.1642424243</v>
      </c>
      <c r="F33" s="511">
        <f t="shared" si="17"/>
        <v>4974833.6235793373</v>
      </c>
      <c r="G33" s="512">
        <f t="shared" si="18"/>
        <v>880228.57437328168</v>
      </c>
      <c r="H33" s="478">
        <f t="shared" si="19"/>
        <v>880228.57437328168</v>
      </c>
      <c r="I33" s="501">
        <f t="shared" si="6"/>
        <v>0</v>
      </c>
      <c r="J33" s="501"/>
      <c r="K33" s="513"/>
      <c r="L33" s="505">
        <f t="shared" si="2"/>
        <v>0</v>
      </c>
      <c r="M33" s="513"/>
      <c r="N33" s="505">
        <f t="shared" si="4"/>
        <v>0</v>
      </c>
      <c r="O33" s="505">
        <f t="shared" si="5"/>
        <v>0</v>
      </c>
      <c r="P33" s="279"/>
    </row>
    <row r="34" spans="2:16" ht="12.5">
      <c r="B34" s="145" t="str">
        <f t="shared" si="0"/>
        <v/>
      </c>
      <c r="C34" s="496">
        <f>IF(D11="","-",+C33+1)</f>
        <v>2034</v>
      </c>
      <c r="D34" s="509">
        <f>IF(F33+SUM(E$17:E33)=D$10,F33,D$10-SUM(E$17:E33))</f>
        <v>4974833.6235793373</v>
      </c>
      <c r="E34" s="510">
        <f t="shared" si="16"/>
        <v>292537.1642424243</v>
      </c>
      <c r="F34" s="511">
        <f t="shared" si="17"/>
        <v>4682296.4593369132</v>
      </c>
      <c r="G34" s="512">
        <f t="shared" si="18"/>
        <v>846657.36808531929</v>
      </c>
      <c r="H34" s="478">
        <f t="shared" si="19"/>
        <v>846657.36808531929</v>
      </c>
      <c r="I34" s="501">
        <f t="shared" si="6"/>
        <v>0</v>
      </c>
      <c r="J34" s="501"/>
      <c r="K34" s="513"/>
      <c r="L34" s="505">
        <f t="shared" si="2"/>
        <v>0</v>
      </c>
      <c r="M34" s="513"/>
      <c r="N34" s="505">
        <f t="shared" si="4"/>
        <v>0</v>
      </c>
      <c r="O34" s="505">
        <f t="shared" si="5"/>
        <v>0</v>
      </c>
      <c r="P34" s="279"/>
    </row>
    <row r="35" spans="2:16" ht="12.5">
      <c r="B35" s="145" t="str">
        <f t="shared" si="0"/>
        <v/>
      </c>
      <c r="C35" s="496">
        <f>IF(D11="","-",+C34+1)</f>
        <v>2035</v>
      </c>
      <c r="D35" s="509">
        <f>IF(F34+SUM(E$17:E34)=D$10,F34,D$10-SUM(E$17:E34))</f>
        <v>4682296.4593369132</v>
      </c>
      <c r="E35" s="510">
        <f t="shared" si="16"/>
        <v>292537.1642424243</v>
      </c>
      <c r="F35" s="511">
        <f t="shared" si="17"/>
        <v>4389759.2950944891</v>
      </c>
      <c r="G35" s="512">
        <f t="shared" si="18"/>
        <v>813086.16179735679</v>
      </c>
      <c r="H35" s="478">
        <f t="shared" si="19"/>
        <v>813086.16179735679</v>
      </c>
      <c r="I35" s="501">
        <f t="shared" si="6"/>
        <v>0</v>
      </c>
      <c r="J35" s="501"/>
      <c r="K35" s="513"/>
      <c r="L35" s="505">
        <f t="shared" si="2"/>
        <v>0</v>
      </c>
      <c r="M35" s="513"/>
      <c r="N35" s="505">
        <f t="shared" si="4"/>
        <v>0</v>
      </c>
      <c r="O35" s="505">
        <f t="shared" si="5"/>
        <v>0</v>
      </c>
      <c r="P35" s="279"/>
    </row>
    <row r="36" spans="2:16" ht="12.5">
      <c r="B36" s="145" t="str">
        <f t="shared" si="0"/>
        <v/>
      </c>
      <c r="C36" s="496">
        <f>IF(D11="","-",+C35+1)</f>
        <v>2036</v>
      </c>
      <c r="D36" s="509">
        <f>IF(F35+SUM(E$17:E35)=D$10,F35,D$10-SUM(E$17:E35))</f>
        <v>4389759.2950944891</v>
      </c>
      <c r="E36" s="510">
        <f t="shared" si="16"/>
        <v>292537.1642424243</v>
      </c>
      <c r="F36" s="511">
        <f t="shared" si="17"/>
        <v>4097222.130852065</v>
      </c>
      <c r="G36" s="512">
        <f t="shared" si="18"/>
        <v>779514.95550939441</v>
      </c>
      <c r="H36" s="478">
        <f t="shared" si="19"/>
        <v>779514.95550939441</v>
      </c>
      <c r="I36" s="501">
        <f t="shared" si="6"/>
        <v>0</v>
      </c>
      <c r="J36" s="501"/>
      <c r="K36" s="513"/>
      <c r="L36" s="505">
        <f t="shared" si="2"/>
        <v>0</v>
      </c>
      <c r="M36" s="513"/>
      <c r="N36" s="505">
        <f t="shared" si="4"/>
        <v>0</v>
      </c>
      <c r="O36" s="505">
        <f t="shared" si="5"/>
        <v>0</v>
      </c>
      <c r="P36" s="279"/>
    </row>
    <row r="37" spans="2:16" ht="12.5">
      <c r="B37" s="145" t="str">
        <f t="shared" si="0"/>
        <v/>
      </c>
      <c r="C37" s="496">
        <f>IF(D11="","-",+C36+1)</f>
        <v>2037</v>
      </c>
      <c r="D37" s="509">
        <f>IF(F36+SUM(E$17:E36)=D$10,F36,D$10-SUM(E$17:E36))</f>
        <v>4097222.130852065</v>
      </c>
      <c r="E37" s="510">
        <f t="shared" si="16"/>
        <v>292537.1642424243</v>
      </c>
      <c r="F37" s="511">
        <f t="shared" si="17"/>
        <v>3804684.966609641</v>
      </c>
      <c r="G37" s="512">
        <f t="shared" si="18"/>
        <v>745943.74922143202</v>
      </c>
      <c r="H37" s="478">
        <f t="shared" si="19"/>
        <v>745943.74922143202</v>
      </c>
      <c r="I37" s="501">
        <f t="shared" si="6"/>
        <v>0</v>
      </c>
      <c r="J37" s="501"/>
      <c r="K37" s="513"/>
      <c r="L37" s="505">
        <f t="shared" si="2"/>
        <v>0</v>
      </c>
      <c r="M37" s="513"/>
      <c r="N37" s="505">
        <f t="shared" si="4"/>
        <v>0</v>
      </c>
      <c r="O37" s="505">
        <f t="shared" si="5"/>
        <v>0</v>
      </c>
      <c r="P37" s="279"/>
    </row>
    <row r="38" spans="2:16" ht="12.5">
      <c r="B38" s="145" t="str">
        <f t="shared" si="0"/>
        <v/>
      </c>
      <c r="C38" s="496">
        <f>IF(D11="","-",+C37+1)</f>
        <v>2038</v>
      </c>
      <c r="D38" s="509">
        <f>IF(F37+SUM(E$17:E37)=D$10,F37,D$10-SUM(E$17:E37))</f>
        <v>3804684.966609641</v>
      </c>
      <c r="E38" s="510">
        <f t="shared" si="16"/>
        <v>292537.1642424243</v>
      </c>
      <c r="F38" s="511">
        <f t="shared" si="17"/>
        <v>3512147.8023672169</v>
      </c>
      <c r="G38" s="512">
        <f t="shared" si="18"/>
        <v>712372.54293346964</v>
      </c>
      <c r="H38" s="478">
        <f t="shared" si="19"/>
        <v>712372.54293346964</v>
      </c>
      <c r="I38" s="501">
        <f t="shared" si="6"/>
        <v>0</v>
      </c>
      <c r="J38" s="501"/>
      <c r="K38" s="513"/>
      <c r="L38" s="505">
        <f t="shared" si="2"/>
        <v>0</v>
      </c>
      <c r="M38" s="513"/>
      <c r="N38" s="505">
        <f t="shared" si="4"/>
        <v>0</v>
      </c>
      <c r="O38" s="505">
        <f t="shared" si="5"/>
        <v>0</v>
      </c>
      <c r="P38" s="279"/>
    </row>
    <row r="39" spans="2:16" ht="12.5">
      <c r="B39" s="145" t="str">
        <f t="shared" si="0"/>
        <v/>
      </c>
      <c r="C39" s="496">
        <f>IF(D11="","-",+C38+1)</f>
        <v>2039</v>
      </c>
      <c r="D39" s="509">
        <f>IF(F38+SUM(E$17:E38)=D$10,F38,D$10-SUM(E$17:E38))</f>
        <v>3512147.8023672169</v>
      </c>
      <c r="E39" s="510">
        <f t="shared" si="16"/>
        <v>292537.1642424243</v>
      </c>
      <c r="F39" s="511">
        <f t="shared" si="17"/>
        <v>3219610.6381247928</v>
      </c>
      <c r="G39" s="512">
        <f t="shared" si="18"/>
        <v>678801.33664550725</v>
      </c>
      <c r="H39" s="478">
        <f t="shared" si="19"/>
        <v>678801.33664550725</v>
      </c>
      <c r="I39" s="501">
        <f t="shared" si="6"/>
        <v>0</v>
      </c>
      <c r="J39" s="501"/>
      <c r="K39" s="513"/>
      <c r="L39" s="505">
        <f t="shared" si="2"/>
        <v>0</v>
      </c>
      <c r="M39" s="513"/>
      <c r="N39" s="505">
        <f t="shared" si="4"/>
        <v>0</v>
      </c>
      <c r="O39" s="505">
        <f t="shared" si="5"/>
        <v>0</v>
      </c>
      <c r="P39" s="279"/>
    </row>
    <row r="40" spans="2:16" ht="12.5">
      <c r="B40" s="145" t="str">
        <f t="shared" si="0"/>
        <v/>
      </c>
      <c r="C40" s="496">
        <f>IF(D11="","-",+C39+1)</f>
        <v>2040</v>
      </c>
      <c r="D40" s="509">
        <f>IF(F39+SUM(E$17:E39)=D$10,F39,D$10-SUM(E$17:E39))</f>
        <v>3219610.6381247928</v>
      </c>
      <c r="E40" s="510">
        <f t="shared" si="16"/>
        <v>292537.1642424243</v>
      </c>
      <c r="F40" s="511">
        <f t="shared" si="17"/>
        <v>2927073.4738823688</v>
      </c>
      <c r="G40" s="512">
        <f t="shared" si="18"/>
        <v>645230.13035754487</v>
      </c>
      <c r="H40" s="478">
        <f t="shared" si="19"/>
        <v>645230.13035754487</v>
      </c>
      <c r="I40" s="501">
        <f t="shared" si="6"/>
        <v>0</v>
      </c>
      <c r="J40" s="501"/>
      <c r="K40" s="513"/>
      <c r="L40" s="505">
        <f t="shared" si="2"/>
        <v>0</v>
      </c>
      <c r="M40" s="513"/>
      <c r="N40" s="505">
        <f t="shared" si="4"/>
        <v>0</v>
      </c>
      <c r="O40" s="505">
        <f t="shared" si="5"/>
        <v>0</v>
      </c>
      <c r="P40" s="279"/>
    </row>
    <row r="41" spans="2:16" ht="12.5">
      <c r="B41" s="145" t="str">
        <f t="shared" si="0"/>
        <v/>
      </c>
      <c r="C41" s="496">
        <f>IF(D11="","-",+C40+1)</f>
        <v>2041</v>
      </c>
      <c r="D41" s="509">
        <f>IF(F40+SUM(E$17:E40)=D$10,F40,D$10-SUM(E$17:E40))</f>
        <v>2927073.4738823688</v>
      </c>
      <c r="E41" s="510">
        <f t="shared" si="16"/>
        <v>292537.1642424243</v>
      </c>
      <c r="F41" s="511">
        <f t="shared" si="17"/>
        <v>2634536.3096399447</v>
      </c>
      <c r="G41" s="512">
        <f t="shared" si="18"/>
        <v>611658.92406958248</v>
      </c>
      <c r="H41" s="478">
        <f t="shared" si="19"/>
        <v>611658.92406958248</v>
      </c>
      <c r="I41" s="501">
        <f t="shared" si="6"/>
        <v>0</v>
      </c>
      <c r="J41" s="501"/>
      <c r="K41" s="513"/>
      <c r="L41" s="505">
        <f t="shared" si="2"/>
        <v>0</v>
      </c>
      <c r="M41" s="513"/>
      <c r="N41" s="505">
        <f t="shared" si="4"/>
        <v>0</v>
      </c>
      <c r="O41" s="505">
        <f t="shared" si="5"/>
        <v>0</v>
      </c>
      <c r="P41" s="279"/>
    </row>
    <row r="42" spans="2:16" ht="12.5">
      <c r="B42" s="145" t="str">
        <f t="shared" si="0"/>
        <v/>
      </c>
      <c r="C42" s="496">
        <f>IF(D11="","-",+C41+1)</f>
        <v>2042</v>
      </c>
      <c r="D42" s="509">
        <f>IF(F41+SUM(E$17:E41)=D$10,F41,D$10-SUM(E$17:E41))</f>
        <v>2634536.3096399447</v>
      </c>
      <c r="E42" s="510">
        <f t="shared" si="16"/>
        <v>292537.1642424243</v>
      </c>
      <c r="F42" s="511">
        <f t="shared" si="17"/>
        <v>2341999.1453975206</v>
      </c>
      <c r="G42" s="512">
        <f t="shared" si="18"/>
        <v>578087.71778161998</v>
      </c>
      <c r="H42" s="478">
        <f t="shared" si="19"/>
        <v>578087.71778161998</v>
      </c>
      <c r="I42" s="501">
        <f t="shared" si="6"/>
        <v>0</v>
      </c>
      <c r="J42" s="501"/>
      <c r="K42" s="513"/>
      <c r="L42" s="505">
        <f t="shared" si="2"/>
        <v>0</v>
      </c>
      <c r="M42" s="513"/>
      <c r="N42" s="505">
        <f t="shared" si="4"/>
        <v>0</v>
      </c>
      <c r="O42" s="505">
        <f t="shared" si="5"/>
        <v>0</v>
      </c>
      <c r="P42" s="279"/>
    </row>
    <row r="43" spans="2:16" ht="12.5">
      <c r="B43" s="145" t="str">
        <f t="shared" si="0"/>
        <v/>
      </c>
      <c r="C43" s="496">
        <f>IF(D11="","-",+C42+1)</f>
        <v>2043</v>
      </c>
      <c r="D43" s="509">
        <f>IF(F42+SUM(E$17:E42)=D$10,F42,D$10-SUM(E$17:E42))</f>
        <v>2341999.1453975206</v>
      </c>
      <c r="E43" s="510">
        <f t="shared" si="16"/>
        <v>292537.1642424243</v>
      </c>
      <c r="F43" s="511">
        <f t="shared" si="17"/>
        <v>2049461.9811550963</v>
      </c>
      <c r="G43" s="512">
        <f t="shared" si="18"/>
        <v>544516.5114936576</v>
      </c>
      <c r="H43" s="478">
        <f t="shared" si="19"/>
        <v>544516.5114936576</v>
      </c>
      <c r="I43" s="501">
        <f t="shared" si="6"/>
        <v>0</v>
      </c>
      <c r="J43" s="501"/>
      <c r="K43" s="513"/>
      <c r="L43" s="505">
        <f t="shared" si="2"/>
        <v>0</v>
      </c>
      <c r="M43" s="513"/>
      <c r="N43" s="505">
        <f t="shared" si="4"/>
        <v>0</v>
      </c>
      <c r="O43" s="505">
        <f t="shared" si="5"/>
        <v>0</v>
      </c>
      <c r="P43" s="279"/>
    </row>
    <row r="44" spans="2:16" ht="12.5">
      <c r="B44" s="145" t="str">
        <f t="shared" si="0"/>
        <v/>
      </c>
      <c r="C44" s="496">
        <f>IF(D11="","-",+C43+1)</f>
        <v>2044</v>
      </c>
      <c r="D44" s="509">
        <f>IF(F43+SUM(E$17:E43)=D$10,F43,D$10-SUM(E$17:E43))</f>
        <v>2049461.9811550963</v>
      </c>
      <c r="E44" s="510">
        <f t="shared" si="16"/>
        <v>292537.1642424243</v>
      </c>
      <c r="F44" s="511">
        <f t="shared" si="17"/>
        <v>1756924.816912672</v>
      </c>
      <c r="G44" s="512">
        <f t="shared" si="18"/>
        <v>510945.30520569516</v>
      </c>
      <c r="H44" s="478">
        <f t="shared" si="19"/>
        <v>510945.30520569516</v>
      </c>
      <c r="I44" s="501">
        <f t="shared" si="6"/>
        <v>0</v>
      </c>
      <c r="J44" s="501"/>
      <c r="K44" s="513"/>
      <c r="L44" s="505">
        <f t="shared" si="2"/>
        <v>0</v>
      </c>
      <c r="M44" s="513"/>
      <c r="N44" s="505">
        <f t="shared" si="4"/>
        <v>0</v>
      </c>
      <c r="O44" s="505">
        <f t="shared" si="5"/>
        <v>0</v>
      </c>
      <c r="P44" s="279"/>
    </row>
    <row r="45" spans="2:16" ht="12.5">
      <c r="B45" s="145" t="str">
        <f t="shared" si="0"/>
        <v/>
      </c>
      <c r="C45" s="496">
        <f>IF(D11="","-",+C44+1)</f>
        <v>2045</v>
      </c>
      <c r="D45" s="509">
        <f>IF(F44+SUM(E$17:E44)=D$10,F44,D$10-SUM(E$17:E44))</f>
        <v>1756924.816912672</v>
      </c>
      <c r="E45" s="510">
        <f t="shared" si="16"/>
        <v>292537.1642424243</v>
      </c>
      <c r="F45" s="511">
        <f t="shared" si="17"/>
        <v>1464387.6526702477</v>
      </c>
      <c r="G45" s="512">
        <f t="shared" si="18"/>
        <v>477374.09891773271</v>
      </c>
      <c r="H45" s="478">
        <f t="shared" si="19"/>
        <v>477374.09891773271</v>
      </c>
      <c r="I45" s="501">
        <f t="shared" si="6"/>
        <v>0</v>
      </c>
      <c r="J45" s="501"/>
      <c r="K45" s="513"/>
      <c r="L45" s="505">
        <f t="shared" si="2"/>
        <v>0</v>
      </c>
      <c r="M45" s="513"/>
      <c r="N45" s="505">
        <f t="shared" si="4"/>
        <v>0</v>
      </c>
      <c r="O45" s="505">
        <f t="shared" si="5"/>
        <v>0</v>
      </c>
      <c r="P45" s="279"/>
    </row>
    <row r="46" spans="2:16" ht="12.5">
      <c r="B46" s="145" t="str">
        <f t="shared" si="0"/>
        <v/>
      </c>
      <c r="C46" s="496">
        <f>IF(D11="","-",+C45+1)</f>
        <v>2046</v>
      </c>
      <c r="D46" s="509">
        <f>IF(F45+SUM(E$17:E45)=D$10,F45,D$10-SUM(E$17:E45))</f>
        <v>1464387.6526702477</v>
      </c>
      <c r="E46" s="510">
        <f t="shared" si="16"/>
        <v>292537.1642424243</v>
      </c>
      <c r="F46" s="511">
        <f t="shared" si="17"/>
        <v>1171850.4884278234</v>
      </c>
      <c r="G46" s="512">
        <f t="shared" si="18"/>
        <v>443802.89262977027</v>
      </c>
      <c r="H46" s="478">
        <f t="shared" si="19"/>
        <v>443802.89262977027</v>
      </c>
      <c r="I46" s="501">
        <f t="shared" si="6"/>
        <v>0</v>
      </c>
      <c r="J46" s="501"/>
      <c r="K46" s="513"/>
      <c r="L46" s="505">
        <f t="shared" si="2"/>
        <v>0</v>
      </c>
      <c r="M46" s="513"/>
      <c r="N46" s="505">
        <f t="shared" si="4"/>
        <v>0</v>
      </c>
      <c r="O46" s="505">
        <f t="shared" si="5"/>
        <v>0</v>
      </c>
      <c r="P46" s="279"/>
    </row>
    <row r="47" spans="2:16" ht="12.5">
      <c r="B47" s="145" t="str">
        <f t="shared" si="0"/>
        <v/>
      </c>
      <c r="C47" s="496">
        <f>IF(D11="","-",+C46+1)</f>
        <v>2047</v>
      </c>
      <c r="D47" s="509">
        <f>IF(F46+SUM(E$17:E46)=D$10,F46,D$10-SUM(E$17:E46))</f>
        <v>1171850.4884278234</v>
      </c>
      <c r="E47" s="510">
        <f t="shared" si="16"/>
        <v>292537.1642424243</v>
      </c>
      <c r="F47" s="511">
        <f t="shared" si="17"/>
        <v>879313.32418539911</v>
      </c>
      <c r="G47" s="512">
        <f t="shared" si="18"/>
        <v>410231.68634180783</v>
      </c>
      <c r="H47" s="478">
        <f t="shared" si="19"/>
        <v>410231.68634180783</v>
      </c>
      <c r="I47" s="501">
        <f t="shared" si="6"/>
        <v>0</v>
      </c>
      <c r="J47" s="501"/>
      <c r="K47" s="513"/>
      <c r="L47" s="505">
        <f t="shared" si="2"/>
        <v>0</v>
      </c>
      <c r="M47" s="513"/>
      <c r="N47" s="505">
        <f t="shared" si="4"/>
        <v>0</v>
      </c>
      <c r="O47" s="505">
        <f t="shared" si="5"/>
        <v>0</v>
      </c>
      <c r="P47" s="279"/>
    </row>
    <row r="48" spans="2:16" ht="12.5">
      <c r="B48" s="145" t="str">
        <f t="shared" si="0"/>
        <v/>
      </c>
      <c r="C48" s="496">
        <f>IF(D11="","-",+C47+1)</f>
        <v>2048</v>
      </c>
      <c r="D48" s="509">
        <f>IF(F47+SUM(E$17:E47)=D$10,F47,D$10-SUM(E$17:E47))</f>
        <v>879313.32418539911</v>
      </c>
      <c r="E48" s="510">
        <f t="shared" si="16"/>
        <v>292537.1642424243</v>
      </c>
      <c r="F48" s="511">
        <f t="shared" si="17"/>
        <v>586776.1599429748</v>
      </c>
      <c r="G48" s="512">
        <f t="shared" si="18"/>
        <v>376660.48005384544</v>
      </c>
      <c r="H48" s="478">
        <f t="shared" si="19"/>
        <v>376660.48005384544</v>
      </c>
      <c r="I48" s="501">
        <f t="shared" si="6"/>
        <v>0</v>
      </c>
      <c r="J48" s="501"/>
      <c r="K48" s="513"/>
      <c r="L48" s="505">
        <f t="shared" si="2"/>
        <v>0</v>
      </c>
      <c r="M48" s="513"/>
      <c r="N48" s="505">
        <f t="shared" si="4"/>
        <v>0</v>
      </c>
      <c r="O48" s="505">
        <f t="shared" si="5"/>
        <v>0</v>
      </c>
      <c r="P48" s="279"/>
    </row>
    <row r="49" spans="2:16" ht="12.5">
      <c r="B49" s="145" t="str">
        <f t="shared" si="0"/>
        <v/>
      </c>
      <c r="C49" s="496">
        <f>IF(D11="","-",+C48+1)</f>
        <v>2049</v>
      </c>
      <c r="D49" s="509">
        <f>IF(F48+SUM(E$17:E48)=D$10,F48,D$10-SUM(E$17:E48))</f>
        <v>586776.1599429748</v>
      </c>
      <c r="E49" s="510">
        <f t="shared" si="16"/>
        <v>292537.1642424243</v>
      </c>
      <c r="F49" s="511">
        <f t="shared" si="17"/>
        <v>294238.9957005505</v>
      </c>
      <c r="G49" s="512">
        <f t="shared" ref="G49:G71" si="20">(D49+F49)/2*I$12+E49</f>
        <v>343089.273765883</v>
      </c>
      <c r="H49" s="478">
        <f t="shared" ref="H49:H71" si="21">+(D49+F49)/2*I$13+E49</f>
        <v>343089.273765883</v>
      </c>
      <c r="I49" s="501">
        <f t="shared" si="6"/>
        <v>0</v>
      </c>
      <c r="J49" s="501"/>
      <c r="K49" s="513"/>
      <c r="L49" s="505">
        <f t="shared" si="2"/>
        <v>0</v>
      </c>
      <c r="M49" s="513"/>
      <c r="N49" s="505">
        <f t="shared" si="4"/>
        <v>0</v>
      </c>
      <c r="O49" s="505">
        <f t="shared" si="5"/>
        <v>0</v>
      </c>
      <c r="P49" s="279"/>
    </row>
    <row r="50" spans="2:16" ht="12.5">
      <c r="B50" s="145" t="str">
        <f t="shared" si="0"/>
        <v/>
      </c>
      <c r="C50" s="496">
        <f>IF(D11="","-",+C49+1)</f>
        <v>2050</v>
      </c>
      <c r="D50" s="509">
        <f>IF(F49+SUM(E$17:E49)=D$10,F49,D$10-SUM(E$17:E49))</f>
        <v>294238.9957005505</v>
      </c>
      <c r="E50" s="510">
        <f t="shared" ref="E50:E71" si="22">IF(+I$14&lt;F49,I$14,D50)</f>
        <v>292537.1642424243</v>
      </c>
      <c r="F50" s="511">
        <f t="shared" si="17"/>
        <v>1701.8314581261948</v>
      </c>
      <c r="G50" s="512">
        <f t="shared" si="20"/>
        <v>309518.06747792056</v>
      </c>
      <c r="H50" s="478">
        <f t="shared" si="21"/>
        <v>309518.06747792056</v>
      </c>
      <c r="I50" s="501">
        <f t="shared" si="6"/>
        <v>0</v>
      </c>
      <c r="J50" s="501"/>
      <c r="K50" s="513"/>
      <c r="L50" s="505">
        <f t="shared" si="2"/>
        <v>0</v>
      </c>
      <c r="M50" s="513"/>
      <c r="N50" s="505">
        <f t="shared" si="4"/>
        <v>0</v>
      </c>
      <c r="O50" s="505">
        <f t="shared" si="5"/>
        <v>0</v>
      </c>
      <c r="P50" s="279"/>
    </row>
    <row r="51" spans="2:16" ht="12.5">
      <c r="B51" s="145" t="str">
        <f t="shared" si="0"/>
        <v/>
      </c>
      <c r="C51" s="496">
        <f>IF(D11="","-",+C50+1)</f>
        <v>2051</v>
      </c>
      <c r="D51" s="509">
        <f>IF(F50+SUM(E$17:E50)=D$10,F50,D$10-SUM(E$17:E50))</f>
        <v>1701.8314581261948</v>
      </c>
      <c r="E51" s="510">
        <f t="shared" si="22"/>
        <v>1701.8314581261948</v>
      </c>
      <c r="F51" s="511">
        <f t="shared" si="17"/>
        <v>0</v>
      </c>
      <c r="G51" s="512">
        <f t="shared" si="20"/>
        <v>1799.4815038837194</v>
      </c>
      <c r="H51" s="478">
        <f t="shared" si="21"/>
        <v>1799.4815038837194</v>
      </c>
      <c r="I51" s="501">
        <f t="shared" si="6"/>
        <v>0</v>
      </c>
      <c r="J51" s="501"/>
      <c r="K51" s="513"/>
      <c r="L51" s="505">
        <f t="shared" si="2"/>
        <v>0</v>
      </c>
      <c r="M51" s="513"/>
      <c r="N51" s="505">
        <f t="shared" si="4"/>
        <v>0</v>
      </c>
      <c r="O51" s="505">
        <f t="shared" si="5"/>
        <v>0</v>
      </c>
      <c r="P51" s="279"/>
    </row>
    <row r="52" spans="2:16" ht="12.5">
      <c r="B52" s="145" t="str">
        <f t="shared" si="0"/>
        <v/>
      </c>
      <c r="C52" s="496">
        <f>IF(D11="","-",+C51+1)</f>
        <v>2052</v>
      </c>
      <c r="D52" s="509">
        <f>IF(F51+SUM(E$17:E51)=D$10,F51,D$10-SUM(E$17:E51))</f>
        <v>0</v>
      </c>
      <c r="E52" s="510">
        <f t="shared" si="22"/>
        <v>0</v>
      </c>
      <c r="F52" s="511">
        <f t="shared" si="17"/>
        <v>0</v>
      </c>
      <c r="G52" s="512">
        <f t="shared" si="20"/>
        <v>0</v>
      </c>
      <c r="H52" s="478">
        <f t="shared" si="21"/>
        <v>0</v>
      </c>
      <c r="I52" s="501">
        <f t="shared" si="6"/>
        <v>0</v>
      </c>
      <c r="J52" s="501"/>
      <c r="K52" s="513"/>
      <c r="L52" s="505">
        <f t="shared" si="2"/>
        <v>0</v>
      </c>
      <c r="M52" s="513"/>
      <c r="N52" s="505">
        <f t="shared" si="4"/>
        <v>0</v>
      </c>
      <c r="O52" s="505">
        <f t="shared" si="5"/>
        <v>0</v>
      </c>
      <c r="P52" s="279"/>
    </row>
    <row r="53" spans="2:16" ht="12.5">
      <c r="B53" s="145" t="str">
        <f t="shared" si="0"/>
        <v/>
      </c>
      <c r="C53" s="496">
        <f>IF(D11="","-",+C52+1)</f>
        <v>2053</v>
      </c>
      <c r="D53" s="509">
        <f>IF(F52+SUM(E$17:E52)=D$10,F52,D$10-SUM(E$17:E52))</f>
        <v>0</v>
      </c>
      <c r="E53" s="510">
        <f t="shared" si="22"/>
        <v>0</v>
      </c>
      <c r="F53" s="511">
        <f t="shared" si="17"/>
        <v>0</v>
      </c>
      <c r="G53" s="512">
        <f t="shared" si="20"/>
        <v>0</v>
      </c>
      <c r="H53" s="478">
        <f t="shared" si="21"/>
        <v>0</v>
      </c>
      <c r="I53" s="501">
        <f t="shared" si="6"/>
        <v>0</v>
      </c>
      <c r="J53" s="501"/>
      <c r="K53" s="513"/>
      <c r="L53" s="505">
        <f t="shared" si="2"/>
        <v>0</v>
      </c>
      <c r="M53" s="513"/>
      <c r="N53" s="505">
        <f t="shared" si="4"/>
        <v>0</v>
      </c>
      <c r="O53" s="505">
        <f t="shared" si="5"/>
        <v>0</v>
      </c>
      <c r="P53" s="279"/>
    </row>
    <row r="54" spans="2:16" ht="12.5">
      <c r="B54" s="145" t="str">
        <f t="shared" si="0"/>
        <v/>
      </c>
      <c r="C54" s="496">
        <f>IF(D11="","-",+C53+1)</f>
        <v>2054</v>
      </c>
      <c r="D54" s="509">
        <f>IF(F53+SUM(E$17:E53)=D$10,F53,D$10-SUM(E$17:E53))</f>
        <v>0</v>
      </c>
      <c r="E54" s="510">
        <f t="shared" si="22"/>
        <v>0</v>
      </c>
      <c r="F54" s="511">
        <f t="shared" si="17"/>
        <v>0</v>
      </c>
      <c r="G54" s="512">
        <f t="shared" si="20"/>
        <v>0</v>
      </c>
      <c r="H54" s="478">
        <f t="shared" si="21"/>
        <v>0</v>
      </c>
      <c r="I54" s="501">
        <f t="shared" si="6"/>
        <v>0</v>
      </c>
      <c r="J54" s="501"/>
      <c r="K54" s="513"/>
      <c r="L54" s="505">
        <f t="shared" si="2"/>
        <v>0</v>
      </c>
      <c r="M54" s="513"/>
      <c r="N54" s="505">
        <f t="shared" si="4"/>
        <v>0</v>
      </c>
      <c r="O54" s="505">
        <f t="shared" si="5"/>
        <v>0</v>
      </c>
      <c r="P54" s="279"/>
    </row>
    <row r="55" spans="2:16" ht="12.5">
      <c r="B55" s="145" t="str">
        <f t="shared" si="0"/>
        <v/>
      </c>
      <c r="C55" s="496">
        <f>IF(D11="","-",+C54+1)</f>
        <v>2055</v>
      </c>
      <c r="D55" s="509">
        <f>IF(F54+SUM(E$17:E54)=D$10,F54,D$10-SUM(E$17:E54))</f>
        <v>0</v>
      </c>
      <c r="E55" s="510">
        <f t="shared" si="22"/>
        <v>0</v>
      </c>
      <c r="F55" s="511">
        <f t="shared" si="17"/>
        <v>0</v>
      </c>
      <c r="G55" s="512">
        <f t="shared" si="20"/>
        <v>0</v>
      </c>
      <c r="H55" s="478">
        <f t="shared" si="21"/>
        <v>0</v>
      </c>
      <c r="I55" s="501">
        <f t="shared" si="6"/>
        <v>0</v>
      </c>
      <c r="J55" s="501"/>
      <c r="K55" s="513"/>
      <c r="L55" s="505">
        <f t="shared" si="2"/>
        <v>0</v>
      </c>
      <c r="M55" s="513"/>
      <c r="N55" s="505">
        <f t="shared" si="4"/>
        <v>0</v>
      </c>
      <c r="O55" s="505">
        <f t="shared" si="5"/>
        <v>0</v>
      </c>
      <c r="P55" s="279"/>
    </row>
    <row r="56" spans="2:16" ht="12.5">
      <c r="B56" s="145" t="str">
        <f t="shared" si="0"/>
        <v/>
      </c>
      <c r="C56" s="496">
        <f>IF(D11="","-",+C55+1)</f>
        <v>2056</v>
      </c>
      <c r="D56" s="509">
        <f>IF(F55+SUM(E$17:E55)=D$10,F55,D$10-SUM(E$17:E55))</f>
        <v>0</v>
      </c>
      <c r="E56" s="510">
        <f t="shared" si="22"/>
        <v>0</v>
      </c>
      <c r="F56" s="511">
        <f t="shared" si="17"/>
        <v>0</v>
      </c>
      <c r="G56" s="512">
        <f t="shared" si="20"/>
        <v>0</v>
      </c>
      <c r="H56" s="478">
        <f t="shared" si="21"/>
        <v>0</v>
      </c>
      <c r="I56" s="501">
        <f t="shared" si="6"/>
        <v>0</v>
      </c>
      <c r="J56" s="501"/>
      <c r="K56" s="513"/>
      <c r="L56" s="505">
        <f t="shared" si="2"/>
        <v>0</v>
      </c>
      <c r="M56" s="513"/>
      <c r="N56" s="505">
        <f t="shared" si="4"/>
        <v>0</v>
      </c>
      <c r="O56" s="505">
        <f t="shared" si="5"/>
        <v>0</v>
      </c>
      <c r="P56" s="279"/>
    </row>
    <row r="57" spans="2:16" ht="12.5">
      <c r="B57" s="145" t="str">
        <f t="shared" si="0"/>
        <v/>
      </c>
      <c r="C57" s="496">
        <f>IF(D11="","-",+C56+1)</f>
        <v>2057</v>
      </c>
      <c r="D57" s="509">
        <f>IF(F56+SUM(E$17:E56)=D$10,F56,D$10-SUM(E$17:E56))</f>
        <v>0</v>
      </c>
      <c r="E57" s="510">
        <f t="shared" si="22"/>
        <v>0</v>
      </c>
      <c r="F57" s="511">
        <f t="shared" si="17"/>
        <v>0</v>
      </c>
      <c r="G57" s="512">
        <f t="shared" si="20"/>
        <v>0</v>
      </c>
      <c r="H57" s="478">
        <f t="shared" si="21"/>
        <v>0</v>
      </c>
      <c r="I57" s="501">
        <f t="shared" si="6"/>
        <v>0</v>
      </c>
      <c r="J57" s="501"/>
      <c r="K57" s="513"/>
      <c r="L57" s="505">
        <f t="shared" si="2"/>
        <v>0</v>
      </c>
      <c r="M57" s="513"/>
      <c r="N57" s="505">
        <f t="shared" si="4"/>
        <v>0</v>
      </c>
      <c r="O57" s="505">
        <f t="shared" si="5"/>
        <v>0</v>
      </c>
      <c r="P57" s="279"/>
    </row>
    <row r="58" spans="2:16" ht="12.5">
      <c r="B58" s="145" t="str">
        <f t="shared" si="0"/>
        <v/>
      </c>
      <c r="C58" s="496">
        <f>IF(D11="","-",+C57+1)</f>
        <v>2058</v>
      </c>
      <c r="D58" s="509">
        <f>IF(F57+SUM(E$17:E57)=D$10,F57,D$10-SUM(E$17:E57))</f>
        <v>0</v>
      </c>
      <c r="E58" s="510">
        <f t="shared" si="22"/>
        <v>0</v>
      </c>
      <c r="F58" s="511">
        <f t="shared" si="17"/>
        <v>0</v>
      </c>
      <c r="G58" s="512">
        <f t="shared" si="20"/>
        <v>0</v>
      </c>
      <c r="H58" s="478">
        <f t="shared" si="21"/>
        <v>0</v>
      </c>
      <c r="I58" s="501">
        <f t="shared" si="6"/>
        <v>0</v>
      </c>
      <c r="J58" s="501"/>
      <c r="K58" s="513"/>
      <c r="L58" s="505">
        <f t="shared" si="2"/>
        <v>0</v>
      </c>
      <c r="M58" s="513"/>
      <c r="N58" s="505">
        <f t="shared" si="4"/>
        <v>0</v>
      </c>
      <c r="O58" s="505">
        <f t="shared" si="5"/>
        <v>0</v>
      </c>
      <c r="P58" s="279"/>
    </row>
    <row r="59" spans="2:16" ht="12.5">
      <c r="B59" s="145" t="str">
        <f t="shared" si="0"/>
        <v/>
      </c>
      <c r="C59" s="496">
        <f>IF(D11="","-",+C58+1)</f>
        <v>2059</v>
      </c>
      <c r="D59" s="509">
        <f>IF(F58+SUM(E$17:E58)=D$10,F58,D$10-SUM(E$17:E58))</f>
        <v>0</v>
      </c>
      <c r="E59" s="510">
        <f t="shared" si="22"/>
        <v>0</v>
      </c>
      <c r="F59" s="511">
        <f t="shared" si="17"/>
        <v>0</v>
      </c>
      <c r="G59" s="512">
        <f t="shared" si="20"/>
        <v>0</v>
      </c>
      <c r="H59" s="478">
        <f t="shared" si="21"/>
        <v>0</v>
      </c>
      <c r="I59" s="501">
        <f t="shared" si="6"/>
        <v>0</v>
      </c>
      <c r="J59" s="501"/>
      <c r="K59" s="513"/>
      <c r="L59" s="505">
        <f t="shared" si="2"/>
        <v>0</v>
      </c>
      <c r="M59" s="513"/>
      <c r="N59" s="505">
        <f t="shared" si="4"/>
        <v>0</v>
      </c>
      <c r="O59" s="505">
        <f t="shared" si="5"/>
        <v>0</v>
      </c>
      <c r="P59" s="279"/>
    </row>
    <row r="60" spans="2:16" ht="12.5">
      <c r="B60" s="145" t="str">
        <f t="shared" si="0"/>
        <v/>
      </c>
      <c r="C60" s="496">
        <f>IF(D11="","-",+C59+1)</f>
        <v>2060</v>
      </c>
      <c r="D60" s="509">
        <f>IF(F59+SUM(E$17:E59)=D$10,F59,D$10-SUM(E$17:E59))</f>
        <v>0</v>
      </c>
      <c r="E60" s="510">
        <f t="shared" si="22"/>
        <v>0</v>
      </c>
      <c r="F60" s="511">
        <f t="shared" si="17"/>
        <v>0</v>
      </c>
      <c r="G60" s="512">
        <f t="shared" si="20"/>
        <v>0</v>
      </c>
      <c r="H60" s="478">
        <f t="shared" si="21"/>
        <v>0</v>
      </c>
      <c r="I60" s="501">
        <f t="shared" si="6"/>
        <v>0</v>
      </c>
      <c r="J60" s="501"/>
      <c r="K60" s="513"/>
      <c r="L60" s="505">
        <f t="shared" si="2"/>
        <v>0</v>
      </c>
      <c r="M60" s="513"/>
      <c r="N60" s="505">
        <f t="shared" si="4"/>
        <v>0</v>
      </c>
      <c r="O60" s="505">
        <f t="shared" si="5"/>
        <v>0</v>
      </c>
      <c r="P60" s="279"/>
    </row>
    <row r="61" spans="2:16" ht="12.5">
      <c r="B61" s="145" t="str">
        <f t="shared" si="0"/>
        <v/>
      </c>
      <c r="C61" s="496">
        <f>IF(D11="","-",+C60+1)</f>
        <v>2061</v>
      </c>
      <c r="D61" s="509">
        <f>IF(F60+SUM(E$17:E60)=D$10,F60,D$10-SUM(E$17:E60))</f>
        <v>0</v>
      </c>
      <c r="E61" s="510">
        <f t="shared" si="22"/>
        <v>0</v>
      </c>
      <c r="F61" s="511">
        <f t="shared" si="17"/>
        <v>0</v>
      </c>
      <c r="G61" s="524">
        <f t="shared" si="20"/>
        <v>0</v>
      </c>
      <c r="H61" s="478">
        <f t="shared" si="21"/>
        <v>0</v>
      </c>
      <c r="I61" s="501">
        <f t="shared" si="6"/>
        <v>0</v>
      </c>
      <c r="J61" s="501"/>
      <c r="K61" s="513"/>
      <c r="L61" s="505">
        <f t="shared" si="2"/>
        <v>0</v>
      </c>
      <c r="M61" s="513"/>
      <c r="N61" s="505">
        <f t="shared" si="4"/>
        <v>0</v>
      </c>
      <c r="O61" s="505">
        <f t="shared" si="5"/>
        <v>0</v>
      </c>
      <c r="P61" s="279"/>
    </row>
    <row r="62" spans="2:16" ht="12.5">
      <c r="B62" s="145" t="str">
        <f t="shared" si="0"/>
        <v/>
      </c>
      <c r="C62" s="496">
        <f>IF(D11="","-",+C61+1)</f>
        <v>2062</v>
      </c>
      <c r="D62" s="509">
        <f>IF(F61+SUM(E$17:E61)=D$10,F61,D$10-SUM(E$17:E61))</f>
        <v>0</v>
      </c>
      <c r="E62" s="510">
        <f t="shared" si="22"/>
        <v>0</v>
      </c>
      <c r="F62" s="511">
        <f t="shared" si="17"/>
        <v>0</v>
      </c>
      <c r="G62" s="524">
        <f t="shared" si="20"/>
        <v>0</v>
      </c>
      <c r="H62" s="478">
        <f t="shared" si="21"/>
        <v>0</v>
      </c>
      <c r="I62" s="501">
        <f t="shared" si="6"/>
        <v>0</v>
      </c>
      <c r="J62" s="501"/>
      <c r="K62" s="513"/>
      <c r="L62" s="505">
        <f t="shared" si="2"/>
        <v>0</v>
      </c>
      <c r="M62" s="513"/>
      <c r="N62" s="505">
        <f t="shared" si="4"/>
        <v>0</v>
      </c>
      <c r="O62" s="505">
        <f t="shared" si="5"/>
        <v>0</v>
      </c>
      <c r="P62" s="279"/>
    </row>
    <row r="63" spans="2:16" ht="12.5">
      <c r="B63" s="145" t="str">
        <f t="shared" si="0"/>
        <v/>
      </c>
      <c r="C63" s="496">
        <f>IF(D11="","-",+C62+1)</f>
        <v>2063</v>
      </c>
      <c r="D63" s="509">
        <f>IF(F62+SUM(E$17:E62)=D$10,F62,D$10-SUM(E$17:E62))</f>
        <v>0</v>
      </c>
      <c r="E63" s="510">
        <f t="shared" si="22"/>
        <v>0</v>
      </c>
      <c r="F63" s="511">
        <f t="shared" si="17"/>
        <v>0</v>
      </c>
      <c r="G63" s="524">
        <f t="shared" si="20"/>
        <v>0</v>
      </c>
      <c r="H63" s="478">
        <f t="shared" si="21"/>
        <v>0</v>
      </c>
      <c r="I63" s="501">
        <f t="shared" si="6"/>
        <v>0</v>
      </c>
      <c r="J63" s="501"/>
      <c r="K63" s="513"/>
      <c r="L63" s="505">
        <f t="shared" si="2"/>
        <v>0</v>
      </c>
      <c r="M63" s="513"/>
      <c r="N63" s="505">
        <f t="shared" si="4"/>
        <v>0</v>
      </c>
      <c r="O63" s="505">
        <f t="shared" si="5"/>
        <v>0</v>
      </c>
      <c r="P63" s="279"/>
    </row>
    <row r="64" spans="2:16" ht="12.5">
      <c r="B64" s="145" t="str">
        <f t="shared" si="0"/>
        <v/>
      </c>
      <c r="C64" s="496">
        <f>IF(D11="","-",+C63+1)</f>
        <v>2064</v>
      </c>
      <c r="D64" s="509">
        <f>IF(F63+SUM(E$17:E63)=D$10,F63,D$10-SUM(E$17:E63))</f>
        <v>0</v>
      </c>
      <c r="E64" s="510">
        <f t="shared" si="22"/>
        <v>0</v>
      </c>
      <c r="F64" s="511">
        <f t="shared" si="17"/>
        <v>0</v>
      </c>
      <c r="G64" s="524">
        <f t="shared" si="20"/>
        <v>0</v>
      </c>
      <c r="H64" s="478">
        <f t="shared" si="21"/>
        <v>0</v>
      </c>
      <c r="I64" s="501">
        <f t="shared" si="6"/>
        <v>0</v>
      </c>
      <c r="J64" s="501"/>
      <c r="K64" s="513"/>
      <c r="L64" s="505">
        <f t="shared" si="2"/>
        <v>0</v>
      </c>
      <c r="M64" s="513"/>
      <c r="N64" s="505">
        <f t="shared" si="4"/>
        <v>0</v>
      </c>
      <c r="O64" s="505">
        <f t="shared" si="5"/>
        <v>0</v>
      </c>
      <c r="P64" s="279"/>
    </row>
    <row r="65" spans="2:16" ht="12.5">
      <c r="B65" s="145" t="str">
        <f t="shared" si="0"/>
        <v/>
      </c>
      <c r="C65" s="496">
        <f>IF(D11="","-",+C64+1)</f>
        <v>2065</v>
      </c>
      <c r="D65" s="509">
        <f>IF(F64+SUM(E$17:E64)=D$10,F64,D$10-SUM(E$17:E64))</f>
        <v>0</v>
      </c>
      <c r="E65" s="510">
        <f t="shared" si="22"/>
        <v>0</v>
      </c>
      <c r="F65" s="511">
        <f t="shared" si="17"/>
        <v>0</v>
      </c>
      <c r="G65" s="524">
        <f t="shared" si="20"/>
        <v>0</v>
      </c>
      <c r="H65" s="478">
        <f t="shared" si="21"/>
        <v>0</v>
      </c>
      <c r="I65" s="501">
        <f t="shared" si="6"/>
        <v>0</v>
      </c>
      <c r="J65" s="501"/>
      <c r="K65" s="513"/>
      <c r="L65" s="505">
        <f t="shared" si="2"/>
        <v>0</v>
      </c>
      <c r="M65" s="513"/>
      <c r="N65" s="505">
        <f t="shared" si="4"/>
        <v>0</v>
      </c>
      <c r="O65" s="505">
        <f t="shared" si="5"/>
        <v>0</v>
      </c>
      <c r="P65" s="279"/>
    </row>
    <row r="66" spans="2:16" ht="12.5">
      <c r="B66" s="145" t="str">
        <f t="shared" si="0"/>
        <v/>
      </c>
      <c r="C66" s="496">
        <f>IF(D11="","-",+C65+1)</f>
        <v>2066</v>
      </c>
      <c r="D66" s="509">
        <f>IF(F65+SUM(E$17:E65)=D$10,F65,D$10-SUM(E$17:E65))</f>
        <v>0</v>
      </c>
      <c r="E66" s="510">
        <f t="shared" si="22"/>
        <v>0</v>
      </c>
      <c r="F66" s="511">
        <f t="shared" si="17"/>
        <v>0</v>
      </c>
      <c r="G66" s="524">
        <f t="shared" si="20"/>
        <v>0</v>
      </c>
      <c r="H66" s="478">
        <f t="shared" si="21"/>
        <v>0</v>
      </c>
      <c r="I66" s="501">
        <f t="shared" si="6"/>
        <v>0</v>
      </c>
      <c r="J66" s="501"/>
      <c r="K66" s="513"/>
      <c r="L66" s="505">
        <f t="shared" si="2"/>
        <v>0</v>
      </c>
      <c r="M66" s="513"/>
      <c r="N66" s="505">
        <f t="shared" si="4"/>
        <v>0</v>
      </c>
      <c r="O66" s="505">
        <f t="shared" si="5"/>
        <v>0</v>
      </c>
      <c r="P66" s="279"/>
    </row>
    <row r="67" spans="2:16" ht="12.5">
      <c r="B67" s="145" t="str">
        <f t="shared" si="0"/>
        <v/>
      </c>
      <c r="C67" s="496">
        <f>IF(D11="","-",+C66+1)</f>
        <v>2067</v>
      </c>
      <c r="D67" s="509">
        <f>IF(F66+SUM(E$17:E66)=D$10,F66,D$10-SUM(E$17:E66))</f>
        <v>0</v>
      </c>
      <c r="E67" s="510">
        <f t="shared" si="22"/>
        <v>0</v>
      </c>
      <c r="F67" s="511">
        <f t="shared" si="17"/>
        <v>0</v>
      </c>
      <c r="G67" s="524">
        <f t="shared" si="20"/>
        <v>0</v>
      </c>
      <c r="H67" s="478">
        <f t="shared" si="21"/>
        <v>0</v>
      </c>
      <c r="I67" s="501">
        <f t="shared" si="6"/>
        <v>0</v>
      </c>
      <c r="J67" s="501"/>
      <c r="K67" s="513"/>
      <c r="L67" s="505">
        <f t="shared" si="2"/>
        <v>0</v>
      </c>
      <c r="M67" s="513"/>
      <c r="N67" s="505">
        <f t="shared" si="4"/>
        <v>0</v>
      </c>
      <c r="O67" s="505">
        <f t="shared" si="5"/>
        <v>0</v>
      </c>
      <c r="P67" s="279"/>
    </row>
    <row r="68" spans="2:16" ht="12.5">
      <c r="B68" s="145" t="str">
        <f t="shared" si="0"/>
        <v/>
      </c>
      <c r="C68" s="496">
        <f>IF(D11="","-",+C67+1)</f>
        <v>2068</v>
      </c>
      <c r="D68" s="509">
        <f>IF(F67+SUM(E$17:E67)=D$10,F67,D$10-SUM(E$17:E67))</f>
        <v>0</v>
      </c>
      <c r="E68" s="510">
        <f t="shared" si="22"/>
        <v>0</v>
      </c>
      <c r="F68" s="511">
        <f t="shared" si="17"/>
        <v>0</v>
      </c>
      <c r="G68" s="524">
        <f t="shared" si="20"/>
        <v>0</v>
      </c>
      <c r="H68" s="478">
        <f t="shared" si="21"/>
        <v>0</v>
      </c>
      <c r="I68" s="501">
        <f t="shared" si="6"/>
        <v>0</v>
      </c>
      <c r="J68" s="501"/>
      <c r="K68" s="513"/>
      <c r="L68" s="505">
        <f t="shared" si="2"/>
        <v>0</v>
      </c>
      <c r="M68" s="513"/>
      <c r="N68" s="505">
        <f t="shared" si="4"/>
        <v>0</v>
      </c>
      <c r="O68" s="505">
        <f t="shared" si="5"/>
        <v>0</v>
      </c>
      <c r="P68" s="279"/>
    </row>
    <row r="69" spans="2:16" ht="12.5">
      <c r="B69" s="145" t="str">
        <f t="shared" si="0"/>
        <v/>
      </c>
      <c r="C69" s="496">
        <f>IF(D11="","-",+C68+1)</f>
        <v>2069</v>
      </c>
      <c r="D69" s="509">
        <f>IF(F68+SUM(E$17:E68)=D$10,F68,D$10-SUM(E$17:E68))</f>
        <v>0</v>
      </c>
      <c r="E69" s="510">
        <f t="shared" si="22"/>
        <v>0</v>
      </c>
      <c r="F69" s="511">
        <f t="shared" si="17"/>
        <v>0</v>
      </c>
      <c r="G69" s="524">
        <f t="shared" si="20"/>
        <v>0</v>
      </c>
      <c r="H69" s="478">
        <f t="shared" si="21"/>
        <v>0</v>
      </c>
      <c r="I69" s="501">
        <f t="shared" si="6"/>
        <v>0</v>
      </c>
      <c r="J69" s="501"/>
      <c r="K69" s="513"/>
      <c r="L69" s="505">
        <f t="shared" si="2"/>
        <v>0</v>
      </c>
      <c r="M69" s="513"/>
      <c r="N69" s="505">
        <f t="shared" si="4"/>
        <v>0</v>
      </c>
      <c r="O69" s="505">
        <f t="shared" si="5"/>
        <v>0</v>
      </c>
      <c r="P69" s="279"/>
    </row>
    <row r="70" spans="2:16" ht="12.5">
      <c r="B70" s="145" t="str">
        <f t="shared" si="0"/>
        <v/>
      </c>
      <c r="C70" s="496">
        <f>IF(D11="","-",+C69+1)</f>
        <v>2070</v>
      </c>
      <c r="D70" s="509">
        <f>IF(F69+SUM(E$17:E69)=D$10,F69,D$10-SUM(E$17:E69))</f>
        <v>0</v>
      </c>
      <c r="E70" s="510">
        <f t="shared" si="22"/>
        <v>0</v>
      </c>
      <c r="F70" s="511">
        <f t="shared" si="17"/>
        <v>0</v>
      </c>
      <c r="G70" s="524">
        <f t="shared" si="20"/>
        <v>0</v>
      </c>
      <c r="H70" s="478">
        <f t="shared" si="21"/>
        <v>0</v>
      </c>
      <c r="I70" s="501">
        <f t="shared" si="6"/>
        <v>0</v>
      </c>
      <c r="J70" s="501"/>
      <c r="K70" s="513"/>
      <c r="L70" s="505">
        <f t="shared" si="2"/>
        <v>0</v>
      </c>
      <c r="M70" s="513"/>
      <c r="N70" s="505">
        <f t="shared" si="4"/>
        <v>0</v>
      </c>
      <c r="O70" s="505">
        <f t="shared" si="5"/>
        <v>0</v>
      </c>
      <c r="P70" s="279"/>
    </row>
    <row r="71" spans="2:16" ht="12.5">
      <c r="B71" s="145" t="str">
        <f t="shared" si="0"/>
        <v/>
      </c>
      <c r="C71" s="496">
        <f>IF(D11="","-",+C70+1)</f>
        <v>2071</v>
      </c>
      <c r="D71" s="509">
        <f>IF(F70+SUM(E$17:E70)=D$10,F70,D$10-SUM(E$17:E70))</f>
        <v>0</v>
      </c>
      <c r="E71" s="510">
        <f t="shared" si="22"/>
        <v>0</v>
      </c>
      <c r="F71" s="511">
        <f t="shared" si="17"/>
        <v>0</v>
      </c>
      <c r="G71" s="524">
        <f t="shared" si="20"/>
        <v>0</v>
      </c>
      <c r="H71" s="478">
        <f t="shared" si="21"/>
        <v>0</v>
      </c>
      <c r="I71" s="501">
        <f t="shared" si="6"/>
        <v>0</v>
      </c>
      <c r="J71" s="501"/>
      <c r="K71" s="513"/>
      <c r="L71" s="505">
        <f t="shared" si="2"/>
        <v>0</v>
      </c>
      <c r="M71" s="513"/>
      <c r="N71" s="505">
        <f t="shared" si="4"/>
        <v>0</v>
      </c>
      <c r="O71" s="505">
        <f t="shared" si="5"/>
        <v>0</v>
      </c>
      <c r="P71" s="279"/>
    </row>
    <row r="72" spans="2:16" ht="12.5">
      <c r="C72" s="496">
        <f>IF(D12="","-",+C71+1)</f>
        <v>2072</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2073</v>
      </c>
      <c r="D73" s="509">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9653726.4200000018</v>
      </c>
      <c r="F74" s="295"/>
      <c r="G74" s="295">
        <f>SUM(G17:G73)</f>
        <v>27900449.150657929</v>
      </c>
      <c r="H74" s="295">
        <f>SUM(H17:H73)</f>
        <v>27900449.150657929</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16 of 23</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2023</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1221993.0968940321</v>
      </c>
      <c r="N88" s="545">
        <f>IF(J93&lt;D11,0,VLOOKUP(J93,C17:O73,11))</f>
        <v>1221993.0968940321</v>
      </c>
      <c r="O88" s="546">
        <f>+N88-M88</f>
        <v>0</v>
      </c>
      <c r="P88" s="244"/>
    </row>
    <row r="89" spans="1:16" ht="15.5">
      <c r="C89" s="236"/>
      <c r="D89" s="293"/>
      <c r="E89" s="244"/>
      <c r="F89" s="244"/>
      <c r="G89" s="244"/>
      <c r="H89" s="244"/>
      <c r="I89" s="450"/>
      <c r="J89" s="450"/>
      <c r="K89" s="547"/>
      <c r="L89" s="548" t="s">
        <v>254</v>
      </c>
      <c r="M89" s="549">
        <f>IF(J93&lt;D11,0,VLOOKUP(J93,C100:P155,6))</f>
        <v>1338822.3540420756</v>
      </c>
      <c r="N89" s="549">
        <f>IF(J93&lt;D11,0,VLOOKUP(J93,C100:P155,7))</f>
        <v>1338822.3540420756</v>
      </c>
      <c r="O89" s="550">
        <f>+N89-M89</f>
        <v>0</v>
      </c>
      <c r="P89" s="244"/>
    </row>
    <row r="90" spans="1:16" ht="13.5" thickBot="1">
      <c r="C90" s="455" t="s">
        <v>82</v>
      </c>
      <c r="D90" s="551" t="str">
        <f>+D7</f>
        <v>Carnegie South-Southwestern 123 kv line rebuild</v>
      </c>
      <c r="E90" s="244"/>
      <c r="F90" s="244"/>
      <c r="G90" s="244"/>
      <c r="H90" s="244"/>
      <c r="I90" s="326"/>
      <c r="J90" s="326"/>
      <c r="K90" s="552"/>
      <c r="L90" s="553" t="s">
        <v>135</v>
      </c>
      <c r="M90" s="554">
        <f>+M89-M88</f>
        <v>116829.25714804349</v>
      </c>
      <c r="N90" s="554">
        <f>+N89-N88</f>
        <v>116829.25714804349</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2014207</v>
      </c>
      <c r="E92" s="559"/>
      <c r="F92" s="559"/>
      <c r="G92" s="559"/>
      <c r="H92" s="559"/>
      <c r="I92" s="559"/>
      <c r="J92" s="559"/>
      <c r="K92" s="561"/>
      <c r="P92" s="469"/>
    </row>
    <row r="93" spans="1:16" ht="13">
      <c r="C93" s="473" t="s">
        <v>49</v>
      </c>
      <c r="D93" s="471">
        <f>D10</f>
        <v>9653726.4200000018</v>
      </c>
      <c r="E93" s="249" t="s">
        <v>84</v>
      </c>
      <c r="H93" s="409"/>
      <c r="I93" s="409"/>
      <c r="J93" s="472">
        <f>+'OKT.WS.G.BPU.ATRR.True-up'!M16</f>
        <v>2023</v>
      </c>
      <c r="K93" s="468"/>
      <c r="L93" s="295" t="s">
        <v>85</v>
      </c>
      <c r="P93" s="279"/>
    </row>
    <row r="94" spans="1:16" ht="12.5">
      <c r="C94" s="473" t="s">
        <v>52</v>
      </c>
      <c r="D94" s="474">
        <f>IF(D11=I10,"",D11)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471">
        <f>IF(D11=I10,"",D12)</f>
        <v>7</v>
      </c>
      <c r="E95" s="473" t="s">
        <v>55</v>
      </c>
      <c r="F95" s="409"/>
      <c r="G95" s="409"/>
      <c r="J95" s="477">
        <f>'OKT.WS.G.BPU.ATRR.True-up'!$F$81</f>
        <v>0.10963416019310859</v>
      </c>
      <c r="K95" s="414"/>
      <c r="L95" s="145" t="s">
        <v>86</v>
      </c>
      <c r="P95" s="279"/>
    </row>
    <row r="96" spans="1:16" ht="12.5">
      <c r="C96" s="473" t="s">
        <v>57</v>
      </c>
      <c r="D96" s="475">
        <f>'OKT.WS.G.BPU.ATRR.True-up'!F$93</f>
        <v>19</v>
      </c>
      <c r="E96" s="473" t="s">
        <v>58</v>
      </c>
      <c r="F96" s="409"/>
      <c r="G96" s="409"/>
      <c r="J96" s="477">
        <f>IF(H88="",J95,'OKT.WS.G.BPU.ATRR.True-up'!$F$80)</f>
        <v>0.10963416019310859</v>
      </c>
      <c r="K96" s="292"/>
      <c r="L96" s="295" t="s">
        <v>59</v>
      </c>
      <c r="M96" s="292"/>
      <c r="N96" s="292"/>
      <c r="O96" s="292"/>
      <c r="P96" s="279"/>
    </row>
    <row r="97" spans="1:16" ht="13" thickBot="1">
      <c r="C97" s="473" t="s">
        <v>60</v>
      </c>
      <c r="D97" s="474" t="str">
        <f>+D14</f>
        <v>No</v>
      </c>
      <c r="E97" s="564" t="s">
        <v>62</v>
      </c>
      <c r="F97" s="565"/>
      <c r="G97" s="565"/>
      <c r="H97" s="566"/>
      <c r="I97" s="566"/>
      <c r="J97" s="459">
        <f>IF(D93=0,0,D93/D96)</f>
        <v>508090.8642105264</v>
      </c>
      <c r="K97" s="295"/>
      <c r="L97" s="295"/>
      <c r="M97" s="295"/>
      <c r="N97" s="295"/>
      <c r="O97" s="295"/>
      <c r="P97" s="279"/>
    </row>
    <row r="98" spans="1:16"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ht="12.5">
      <c r="B100" s="145" t="str">
        <f t="shared" ref="B100:B155" si="23">IF(D100=F99,"","IU")</f>
        <v>IU</v>
      </c>
      <c r="C100" s="496">
        <f>IF(D94= "","-",D94)</f>
        <v>2017</v>
      </c>
      <c r="D100" s="497">
        <v>0</v>
      </c>
      <c r="E100" s="499">
        <v>99561.5625</v>
      </c>
      <c r="F100" s="506">
        <v>9458348.4375</v>
      </c>
      <c r="G100" s="506">
        <v>4729174.21875</v>
      </c>
      <c r="H100" s="499">
        <v>654463.30646394705</v>
      </c>
      <c r="I100" s="500">
        <v>654463.30646394705</v>
      </c>
      <c r="J100" s="505">
        <f t="shared" ref="J100:J131" si="24">+I100-H100</f>
        <v>0</v>
      </c>
      <c r="K100" s="505"/>
      <c r="L100" s="507">
        <f>+H100</f>
        <v>654463.30646394705</v>
      </c>
      <c r="M100" s="505">
        <f t="shared" ref="M100:M131" si="25">IF(L100&lt;&gt;0,+H100-L100,0)</f>
        <v>0</v>
      </c>
      <c r="N100" s="507">
        <f>+I100</f>
        <v>654463.30646394705</v>
      </c>
      <c r="O100" s="587">
        <f t="shared" ref="O100:O131" si="26">IF(N100&lt;&gt;0,+I100-N100,0)</f>
        <v>0</v>
      </c>
      <c r="P100" s="505">
        <f t="shared" ref="P100:P131" si="27">+O100-M100</f>
        <v>0</v>
      </c>
    </row>
    <row r="101" spans="1:16" ht="12.5">
      <c r="B101" s="145" t="str">
        <f t="shared" si="23"/>
        <v/>
      </c>
      <c r="C101" s="496">
        <f>IF(D94="","-",+C100+1)</f>
        <v>2018</v>
      </c>
      <c r="D101" s="497">
        <v>9458348.4375</v>
      </c>
      <c r="E101" s="499">
        <v>265497.5</v>
      </c>
      <c r="F101" s="506">
        <v>9192850.9375</v>
      </c>
      <c r="G101" s="506">
        <v>9325599.6875</v>
      </c>
      <c r="H101" s="499">
        <v>1249930.642330141</v>
      </c>
      <c r="I101" s="500">
        <v>1249930.642330141</v>
      </c>
      <c r="J101" s="505">
        <f t="shared" si="24"/>
        <v>0</v>
      </c>
      <c r="K101" s="505"/>
      <c r="L101" s="507">
        <f>H101</f>
        <v>1249930.642330141</v>
      </c>
      <c r="M101" s="505">
        <f>IF(L101&lt;&gt;0,+H101-L101,0)</f>
        <v>0</v>
      </c>
      <c r="N101" s="507">
        <f>I101</f>
        <v>1249930.642330141</v>
      </c>
      <c r="O101" s="505">
        <f>IF(N101&lt;&gt;0,+I101-N101,0)</f>
        <v>0</v>
      </c>
      <c r="P101" s="505">
        <f>+O101-M101</f>
        <v>0</v>
      </c>
    </row>
    <row r="102" spans="1:16" ht="12.5">
      <c r="B102" s="145" t="str">
        <f t="shared" si="23"/>
        <v>IU</v>
      </c>
      <c r="C102" s="496">
        <f>IF(D94="","-",+C101+1)</f>
        <v>2019</v>
      </c>
      <c r="D102" s="497">
        <v>9224210.9375</v>
      </c>
      <c r="E102" s="499">
        <v>266368.61111111112</v>
      </c>
      <c r="F102" s="506">
        <v>8957842.3263888881</v>
      </c>
      <c r="G102" s="506">
        <v>9091026.631944444</v>
      </c>
      <c r="H102" s="499">
        <v>1226039.6472041525</v>
      </c>
      <c r="I102" s="500">
        <v>1226039.6472041525</v>
      </c>
      <c r="J102" s="505">
        <f t="shared" si="24"/>
        <v>0</v>
      </c>
      <c r="K102" s="505"/>
      <c r="L102" s="507">
        <f>H102</f>
        <v>1226039.6472041525</v>
      </c>
      <c r="M102" s="505">
        <f>IF(L102&lt;&gt;0,+H102-L102,0)</f>
        <v>0</v>
      </c>
      <c r="N102" s="507">
        <f>I102</f>
        <v>1226039.6472041525</v>
      </c>
      <c r="O102" s="505">
        <f t="shared" si="26"/>
        <v>0</v>
      </c>
      <c r="P102" s="505">
        <f t="shared" si="27"/>
        <v>0</v>
      </c>
    </row>
    <row r="103" spans="1:16" ht="12.5">
      <c r="B103" s="145" t="str">
        <f t="shared" si="23"/>
        <v>IU</v>
      </c>
      <c r="C103" s="496">
        <f>IF(D94="","-",+C102+1)</f>
        <v>2020</v>
      </c>
      <c r="D103" s="497">
        <v>9031312.3263888881</v>
      </c>
      <c r="E103" s="499">
        <v>345097.85714285716</v>
      </c>
      <c r="F103" s="506">
        <v>8686214.4692460317</v>
      </c>
      <c r="G103" s="506">
        <v>8858763.397817459</v>
      </c>
      <c r="H103" s="499">
        <v>1287789.8668546416</v>
      </c>
      <c r="I103" s="500">
        <v>1287789.8668546416</v>
      </c>
      <c r="J103" s="505">
        <f t="shared" si="24"/>
        <v>0</v>
      </c>
      <c r="K103" s="505"/>
      <c r="L103" s="507">
        <f>H103</f>
        <v>1287789.8668546416</v>
      </c>
      <c r="M103" s="505">
        <f>IF(L103&lt;&gt;0,+H103-L103,0)</f>
        <v>0</v>
      </c>
      <c r="N103" s="507">
        <f>I103</f>
        <v>1287789.8668546416</v>
      </c>
      <c r="O103" s="505">
        <f t="shared" si="26"/>
        <v>0</v>
      </c>
      <c r="P103" s="505">
        <f t="shared" si="27"/>
        <v>0</v>
      </c>
    </row>
    <row r="104" spans="1:16" ht="12.5">
      <c r="B104" s="145" t="str">
        <f t="shared" si="23"/>
        <v>IU</v>
      </c>
      <c r="C104" s="496">
        <f>IF(D94="","-",+C103+1)</f>
        <v>2021</v>
      </c>
      <c r="D104" s="497">
        <v>8677200.4692460317</v>
      </c>
      <c r="E104" s="499">
        <v>386149.04</v>
      </c>
      <c r="F104" s="506">
        <v>8291051.4292460317</v>
      </c>
      <c r="G104" s="506">
        <v>8484125.9492460322</v>
      </c>
      <c r="H104" s="499">
        <v>1386953.616675766</v>
      </c>
      <c r="I104" s="500">
        <v>1386953.616675766</v>
      </c>
      <c r="J104" s="505">
        <f t="shared" si="24"/>
        <v>0</v>
      </c>
      <c r="K104" s="505"/>
      <c r="L104" s="507">
        <f>H104</f>
        <v>1386953.616675766</v>
      </c>
      <c r="M104" s="505">
        <f>IF(L104&lt;&gt;0,+H104-L104,0)</f>
        <v>0</v>
      </c>
      <c r="N104" s="507">
        <f>I104</f>
        <v>1386953.616675766</v>
      </c>
      <c r="O104" s="505">
        <f t="shared" si="26"/>
        <v>0</v>
      </c>
      <c r="P104" s="505">
        <f t="shared" si="27"/>
        <v>0</v>
      </c>
    </row>
    <row r="105" spans="1:16" ht="12.5">
      <c r="B105" s="145" t="str">
        <f t="shared" si="23"/>
        <v/>
      </c>
      <c r="C105" s="496">
        <f>IF(D94="","-",+C104+1)</f>
        <v>2022</v>
      </c>
      <c r="D105" s="497">
        <v>8291051.4292460317</v>
      </c>
      <c r="E105" s="499">
        <v>459701.23809523811</v>
      </c>
      <c r="F105" s="506">
        <v>7831350.1911507938</v>
      </c>
      <c r="G105" s="506">
        <v>8061200.8101984132</v>
      </c>
      <c r="H105" s="499">
        <v>1386465.379394053</v>
      </c>
      <c r="I105" s="500">
        <v>1386465.379394053</v>
      </c>
      <c r="J105" s="505">
        <f t="shared" si="24"/>
        <v>0</v>
      </c>
      <c r="K105" s="505"/>
      <c r="L105" s="507">
        <f>H105</f>
        <v>1386465.379394053</v>
      </c>
      <c r="M105" s="505">
        <f>IF(L105&lt;&gt;0,+H105-L105,0)</f>
        <v>0</v>
      </c>
      <c r="N105" s="507">
        <f>I105</f>
        <v>1386465.379394053</v>
      </c>
      <c r="O105" s="505">
        <f t="shared" ref="O105" si="28">IF(N105&lt;&gt;0,+I105-N105,0)</f>
        <v>0</v>
      </c>
      <c r="P105" s="505">
        <f t="shared" ref="P105" si="29">+O105-M105</f>
        <v>0</v>
      </c>
    </row>
    <row r="106" spans="1:16" ht="12.5">
      <c r="B106" s="145" t="str">
        <f t="shared" si="23"/>
        <v>IU</v>
      </c>
      <c r="C106" s="496">
        <f>IF(D94="","-",+C105+1)</f>
        <v>2023</v>
      </c>
      <c r="D106" s="350">
        <f>IF(F105+SUM(E$100:E105)=D$93,F105,D$93-SUM(E$100:E105))</f>
        <v>7831350.6111507956</v>
      </c>
      <c r="E106" s="510">
        <f t="shared" ref="E106:E132" si="30">IF(+J$97&lt;F105,J$97,D106)</f>
        <v>508090.8642105264</v>
      </c>
      <c r="F106" s="511">
        <f t="shared" ref="F106:F131" si="31">+D106-E106</f>
        <v>7323259.7469402691</v>
      </c>
      <c r="G106" s="511">
        <f t="shared" ref="G106:G131" si="32">+(F106+D106)/2</f>
        <v>7577305.1790455319</v>
      </c>
      <c r="H106" s="645">
        <f t="shared" ref="H106:H155" si="33">(D106+F106)/2*J$95+E106</f>
        <v>1338822.3540420756</v>
      </c>
      <c r="I106" s="628">
        <f t="shared" ref="I106:I155" si="34">+J$96*G106+E106</f>
        <v>1338822.3540420756</v>
      </c>
      <c r="J106" s="505">
        <f t="shared" si="24"/>
        <v>0</v>
      </c>
      <c r="K106" s="505"/>
      <c r="L106" s="513"/>
      <c r="M106" s="505">
        <f t="shared" si="25"/>
        <v>0</v>
      </c>
      <c r="N106" s="513"/>
      <c r="O106" s="505">
        <f t="shared" si="26"/>
        <v>0</v>
      </c>
      <c r="P106" s="505">
        <f t="shared" si="27"/>
        <v>0</v>
      </c>
    </row>
    <row r="107" spans="1:16" ht="12.5">
      <c r="B107" s="145" t="str">
        <f t="shared" si="23"/>
        <v/>
      </c>
      <c r="C107" s="496">
        <f>IF(D94="","-",+C106+1)</f>
        <v>2024</v>
      </c>
      <c r="D107" s="350">
        <f>IF(F106+SUM(E$100:E106)=D$93,F106,D$93-SUM(E$100:E106))</f>
        <v>7323259.7469402691</v>
      </c>
      <c r="E107" s="510">
        <f t="shared" si="30"/>
        <v>508090.8642105264</v>
      </c>
      <c r="F107" s="511">
        <f t="shared" si="31"/>
        <v>6815168.8827297427</v>
      </c>
      <c r="G107" s="511">
        <f t="shared" si="32"/>
        <v>7069214.3148350064</v>
      </c>
      <c r="H107" s="645">
        <f t="shared" si="33"/>
        <v>1283118.2388425639</v>
      </c>
      <c r="I107" s="628">
        <f t="shared" si="34"/>
        <v>1283118.2388425639</v>
      </c>
      <c r="J107" s="505">
        <f t="shared" si="24"/>
        <v>0</v>
      </c>
      <c r="K107" s="505"/>
      <c r="L107" s="513"/>
      <c r="M107" s="505">
        <f t="shared" si="25"/>
        <v>0</v>
      </c>
      <c r="N107" s="513"/>
      <c r="O107" s="505">
        <f t="shared" si="26"/>
        <v>0</v>
      </c>
      <c r="P107" s="505">
        <f t="shared" si="27"/>
        <v>0</v>
      </c>
    </row>
    <row r="108" spans="1:16" ht="12.5">
      <c r="B108" s="145" t="str">
        <f t="shared" si="23"/>
        <v/>
      </c>
      <c r="C108" s="496">
        <f>IF(D94="","-",+C107+1)</f>
        <v>2025</v>
      </c>
      <c r="D108" s="350">
        <f>IF(F107+SUM(E$100:E107)=D$93,F107,D$93-SUM(E$100:E107))</f>
        <v>6815168.8827297427</v>
      </c>
      <c r="E108" s="510">
        <f t="shared" si="30"/>
        <v>508090.8642105264</v>
      </c>
      <c r="F108" s="511">
        <f t="shared" si="31"/>
        <v>6307078.0185192162</v>
      </c>
      <c r="G108" s="511">
        <f t="shared" si="32"/>
        <v>6561123.450624479</v>
      </c>
      <c r="H108" s="645">
        <f t="shared" si="33"/>
        <v>1227414.1236430518</v>
      </c>
      <c r="I108" s="628">
        <f t="shared" si="34"/>
        <v>1227414.1236430518</v>
      </c>
      <c r="J108" s="505">
        <f t="shared" si="24"/>
        <v>0</v>
      </c>
      <c r="K108" s="505"/>
      <c r="L108" s="513"/>
      <c r="M108" s="505">
        <f t="shared" si="25"/>
        <v>0</v>
      </c>
      <c r="N108" s="513"/>
      <c r="O108" s="505">
        <f t="shared" si="26"/>
        <v>0</v>
      </c>
      <c r="P108" s="505">
        <f t="shared" si="27"/>
        <v>0</v>
      </c>
    </row>
    <row r="109" spans="1:16" ht="12.5">
      <c r="B109" s="145" t="str">
        <f t="shared" si="23"/>
        <v/>
      </c>
      <c r="C109" s="496">
        <f>IF(D94="","-",+C108+1)</f>
        <v>2026</v>
      </c>
      <c r="D109" s="350">
        <f>IF(F108+SUM(E$100:E108)=D$93,F108,D$93-SUM(E$100:E108))</f>
        <v>6307078.0185192162</v>
      </c>
      <c r="E109" s="510">
        <f t="shared" si="30"/>
        <v>508090.8642105264</v>
      </c>
      <c r="F109" s="511">
        <f t="shared" si="31"/>
        <v>5798987.1543086898</v>
      </c>
      <c r="G109" s="511">
        <f t="shared" si="32"/>
        <v>6053032.5864139535</v>
      </c>
      <c r="H109" s="645">
        <f t="shared" si="33"/>
        <v>1171710.0084435402</v>
      </c>
      <c r="I109" s="628">
        <f t="shared" si="34"/>
        <v>1171710.0084435402</v>
      </c>
      <c r="J109" s="505">
        <f t="shared" si="24"/>
        <v>0</v>
      </c>
      <c r="K109" s="505"/>
      <c r="L109" s="513"/>
      <c r="M109" s="505">
        <f t="shared" si="25"/>
        <v>0</v>
      </c>
      <c r="N109" s="513"/>
      <c r="O109" s="505">
        <f t="shared" si="26"/>
        <v>0</v>
      </c>
      <c r="P109" s="505">
        <f t="shared" si="27"/>
        <v>0</v>
      </c>
    </row>
    <row r="110" spans="1:16" ht="12.5">
      <c r="B110" s="145" t="str">
        <f t="shared" si="23"/>
        <v/>
      </c>
      <c r="C110" s="496">
        <f>IF(D94="","-",+C109+1)</f>
        <v>2027</v>
      </c>
      <c r="D110" s="350">
        <f>IF(F109+SUM(E$100:E109)=D$93,F109,D$93-SUM(E$100:E109))</f>
        <v>5798987.1543086898</v>
      </c>
      <c r="E110" s="510">
        <f t="shared" si="30"/>
        <v>508090.8642105264</v>
      </c>
      <c r="F110" s="511">
        <f t="shared" si="31"/>
        <v>5290896.2900981633</v>
      </c>
      <c r="G110" s="511">
        <f t="shared" si="32"/>
        <v>5544941.7222034261</v>
      </c>
      <c r="H110" s="645">
        <f t="shared" si="33"/>
        <v>1116005.8932440283</v>
      </c>
      <c r="I110" s="628">
        <f t="shared" si="34"/>
        <v>1116005.8932440283</v>
      </c>
      <c r="J110" s="505">
        <f t="shared" si="24"/>
        <v>0</v>
      </c>
      <c r="K110" s="505"/>
      <c r="L110" s="513"/>
      <c r="M110" s="505">
        <f t="shared" si="25"/>
        <v>0</v>
      </c>
      <c r="N110" s="513"/>
      <c r="O110" s="505">
        <f t="shared" si="26"/>
        <v>0</v>
      </c>
      <c r="P110" s="505">
        <f t="shared" si="27"/>
        <v>0</v>
      </c>
    </row>
    <row r="111" spans="1:16" ht="12.5">
      <c r="B111" s="145" t="str">
        <f t="shared" si="23"/>
        <v/>
      </c>
      <c r="C111" s="496">
        <f>IF(D94="","-",+C110+1)</f>
        <v>2028</v>
      </c>
      <c r="D111" s="350">
        <f>IF(F110+SUM(E$100:E110)=D$93,F110,D$93-SUM(E$100:E110))</f>
        <v>5290896.2900981633</v>
      </c>
      <c r="E111" s="510">
        <f t="shared" si="30"/>
        <v>508090.8642105264</v>
      </c>
      <c r="F111" s="511">
        <f t="shared" si="31"/>
        <v>4782805.4258876368</v>
      </c>
      <c r="G111" s="511">
        <f t="shared" si="32"/>
        <v>5036850.8579929005</v>
      </c>
      <c r="H111" s="645">
        <f t="shared" si="33"/>
        <v>1060301.7780445165</v>
      </c>
      <c r="I111" s="628">
        <f t="shared" si="34"/>
        <v>1060301.7780445165</v>
      </c>
      <c r="J111" s="505">
        <f t="shared" si="24"/>
        <v>0</v>
      </c>
      <c r="K111" s="505"/>
      <c r="L111" s="513"/>
      <c r="M111" s="505">
        <f t="shared" si="25"/>
        <v>0</v>
      </c>
      <c r="N111" s="513"/>
      <c r="O111" s="505">
        <f t="shared" si="26"/>
        <v>0</v>
      </c>
      <c r="P111" s="505">
        <f t="shared" si="27"/>
        <v>0</v>
      </c>
    </row>
    <row r="112" spans="1:16" ht="12.5">
      <c r="B112" s="145" t="str">
        <f t="shared" si="23"/>
        <v/>
      </c>
      <c r="C112" s="496">
        <f>IF(D94="","-",+C111+1)</f>
        <v>2029</v>
      </c>
      <c r="D112" s="350">
        <f>IF(F111+SUM(E$100:E111)=D$93,F111,D$93-SUM(E$100:E111))</f>
        <v>4782805.4258876368</v>
      </c>
      <c r="E112" s="510">
        <f t="shared" si="30"/>
        <v>508090.8642105264</v>
      </c>
      <c r="F112" s="511">
        <f t="shared" si="31"/>
        <v>4274714.5616771104</v>
      </c>
      <c r="G112" s="511">
        <f t="shared" si="32"/>
        <v>4528759.9937823731</v>
      </c>
      <c r="H112" s="645">
        <f t="shared" si="33"/>
        <v>1004597.6628450046</v>
      </c>
      <c r="I112" s="628">
        <f t="shared" si="34"/>
        <v>1004597.6628450046</v>
      </c>
      <c r="J112" s="505">
        <f t="shared" si="24"/>
        <v>0</v>
      </c>
      <c r="K112" s="505"/>
      <c r="L112" s="513"/>
      <c r="M112" s="505">
        <f t="shared" si="25"/>
        <v>0</v>
      </c>
      <c r="N112" s="513"/>
      <c r="O112" s="505">
        <f t="shared" si="26"/>
        <v>0</v>
      </c>
      <c r="P112" s="505">
        <f t="shared" si="27"/>
        <v>0</v>
      </c>
    </row>
    <row r="113" spans="2:16" ht="12.5">
      <c r="B113" s="145" t="str">
        <f t="shared" si="23"/>
        <v/>
      </c>
      <c r="C113" s="496">
        <f>IF(D94="","-",+C112+1)</f>
        <v>2030</v>
      </c>
      <c r="D113" s="350">
        <f>IF(F112+SUM(E$100:E112)=D$93,F112,D$93-SUM(E$100:E112))</f>
        <v>4274714.5616771104</v>
      </c>
      <c r="E113" s="510">
        <f t="shared" si="30"/>
        <v>508090.8642105264</v>
      </c>
      <c r="F113" s="511">
        <f t="shared" si="31"/>
        <v>3766623.6974665839</v>
      </c>
      <c r="G113" s="511">
        <f t="shared" si="32"/>
        <v>4020669.1295718472</v>
      </c>
      <c r="H113" s="645">
        <f t="shared" si="33"/>
        <v>948893.54764549271</v>
      </c>
      <c r="I113" s="628">
        <f t="shared" si="34"/>
        <v>948893.54764549271</v>
      </c>
      <c r="J113" s="505">
        <f t="shared" si="24"/>
        <v>0</v>
      </c>
      <c r="K113" s="505"/>
      <c r="L113" s="513"/>
      <c r="M113" s="505">
        <f t="shared" si="25"/>
        <v>0</v>
      </c>
      <c r="N113" s="513"/>
      <c r="O113" s="505">
        <f t="shared" si="26"/>
        <v>0</v>
      </c>
      <c r="P113" s="505">
        <f t="shared" si="27"/>
        <v>0</v>
      </c>
    </row>
    <row r="114" spans="2:16" ht="12.5">
      <c r="B114" s="145" t="str">
        <f t="shared" si="23"/>
        <v/>
      </c>
      <c r="C114" s="496">
        <f>IF(D94="","-",+C113+1)</f>
        <v>2031</v>
      </c>
      <c r="D114" s="350">
        <f>IF(F113+SUM(E$100:E113)=D$93,F113,D$93-SUM(E$100:E113))</f>
        <v>3766623.6974665839</v>
      </c>
      <c r="E114" s="510">
        <f t="shared" si="30"/>
        <v>508090.8642105264</v>
      </c>
      <c r="F114" s="511">
        <f t="shared" si="31"/>
        <v>3258532.8332560575</v>
      </c>
      <c r="G114" s="511">
        <f t="shared" si="32"/>
        <v>3512578.2653613207</v>
      </c>
      <c r="H114" s="645">
        <f t="shared" si="33"/>
        <v>893189.43244598096</v>
      </c>
      <c r="I114" s="628">
        <f t="shared" si="34"/>
        <v>893189.43244598096</v>
      </c>
      <c r="J114" s="505">
        <f t="shared" si="24"/>
        <v>0</v>
      </c>
      <c r="K114" s="505"/>
      <c r="L114" s="513"/>
      <c r="M114" s="505">
        <f t="shared" si="25"/>
        <v>0</v>
      </c>
      <c r="N114" s="513"/>
      <c r="O114" s="505">
        <f t="shared" si="26"/>
        <v>0</v>
      </c>
      <c r="P114" s="505">
        <f t="shared" si="27"/>
        <v>0</v>
      </c>
    </row>
    <row r="115" spans="2:16" ht="12.5">
      <c r="B115" s="145" t="str">
        <f t="shared" si="23"/>
        <v/>
      </c>
      <c r="C115" s="496">
        <f>IF(D94="","-",+C114+1)</f>
        <v>2032</v>
      </c>
      <c r="D115" s="350">
        <f>IF(F114+SUM(E$100:E114)=D$93,F114,D$93-SUM(E$100:E114))</f>
        <v>3258532.8332560575</v>
      </c>
      <c r="E115" s="510">
        <f t="shared" si="30"/>
        <v>508090.8642105264</v>
      </c>
      <c r="F115" s="511">
        <f t="shared" si="31"/>
        <v>2750441.969045531</v>
      </c>
      <c r="G115" s="511">
        <f t="shared" si="32"/>
        <v>3004487.4011507942</v>
      </c>
      <c r="H115" s="645">
        <f t="shared" si="33"/>
        <v>837485.31724646909</v>
      </c>
      <c r="I115" s="628">
        <f t="shared" si="34"/>
        <v>837485.31724646909</v>
      </c>
      <c r="J115" s="505">
        <f t="shared" si="24"/>
        <v>0</v>
      </c>
      <c r="K115" s="505"/>
      <c r="L115" s="513"/>
      <c r="M115" s="505">
        <f t="shared" si="25"/>
        <v>0</v>
      </c>
      <c r="N115" s="513"/>
      <c r="O115" s="505">
        <f t="shared" si="26"/>
        <v>0</v>
      </c>
      <c r="P115" s="505">
        <f t="shared" si="27"/>
        <v>0</v>
      </c>
    </row>
    <row r="116" spans="2:16" ht="12.5">
      <c r="B116" s="145" t="str">
        <f t="shared" si="23"/>
        <v/>
      </c>
      <c r="C116" s="496">
        <f>IF(D94="","-",+C115+1)</f>
        <v>2033</v>
      </c>
      <c r="D116" s="350">
        <f>IF(F115+SUM(E$100:E115)=D$93,F115,D$93-SUM(E$100:E115))</f>
        <v>2750441.969045531</v>
      </c>
      <c r="E116" s="510">
        <f t="shared" si="30"/>
        <v>508090.8642105264</v>
      </c>
      <c r="F116" s="511">
        <f t="shared" si="31"/>
        <v>2242351.1048350045</v>
      </c>
      <c r="G116" s="511">
        <f t="shared" si="32"/>
        <v>2496396.5369402678</v>
      </c>
      <c r="H116" s="645">
        <f t="shared" si="33"/>
        <v>781781.20204695733</v>
      </c>
      <c r="I116" s="628">
        <f t="shared" si="34"/>
        <v>781781.20204695733</v>
      </c>
      <c r="J116" s="505">
        <f t="shared" si="24"/>
        <v>0</v>
      </c>
      <c r="K116" s="505"/>
      <c r="L116" s="513"/>
      <c r="M116" s="505">
        <f t="shared" si="25"/>
        <v>0</v>
      </c>
      <c r="N116" s="513"/>
      <c r="O116" s="505">
        <f t="shared" si="26"/>
        <v>0</v>
      </c>
      <c r="P116" s="505">
        <f t="shared" si="27"/>
        <v>0</v>
      </c>
    </row>
    <row r="117" spans="2:16" ht="12.5">
      <c r="B117" s="145" t="str">
        <f t="shared" si="23"/>
        <v/>
      </c>
      <c r="C117" s="496">
        <f>IF(D94="","-",+C116+1)</f>
        <v>2034</v>
      </c>
      <c r="D117" s="350">
        <f>IF(F116+SUM(E$100:E116)=D$93,F116,D$93-SUM(E$100:E116))</f>
        <v>2242351.1048350045</v>
      </c>
      <c r="E117" s="510">
        <f t="shared" si="30"/>
        <v>508090.8642105264</v>
      </c>
      <c r="F117" s="511">
        <f t="shared" si="31"/>
        <v>1734260.2406244781</v>
      </c>
      <c r="G117" s="511">
        <f t="shared" si="32"/>
        <v>1988305.6727297413</v>
      </c>
      <c r="H117" s="645">
        <f t="shared" si="33"/>
        <v>726077.08684744546</v>
      </c>
      <c r="I117" s="628">
        <f t="shared" si="34"/>
        <v>726077.08684744546</v>
      </c>
      <c r="J117" s="505">
        <f t="shared" si="24"/>
        <v>0</v>
      </c>
      <c r="K117" s="505"/>
      <c r="L117" s="513"/>
      <c r="M117" s="505">
        <f t="shared" si="25"/>
        <v>0</v>
      </c>
      <c r="N117" s="513"/>
      <c r="O117" s="505">
        <f t="shared" si="26"/>
        <v>0</v>
      </c>
      <c r="P117" s="505">
        <f t="shared" si="27"/>
        <v>0</v>
      </c>
    </row>
    <row r="118" spans="2:16" ht="12.5">
      <c r="B118" s="145" t="str">
        <f t="shared" si="23"/>
        <v/>
      </c>
      <c r="C118" s="496">
        <f>IF(D94="","-",+C117+1)</f>
        <v>2035</v>
      </c>
      <c r="D118" s="350">
        <f>IF(F117+SUM(E$100:E117)=D$93,F117,D$93-SUM(E$100:E117))</f>
        <v>1734260.2406244781</v>
      </c>
      <c r="E118" s="510">
        <f t="shared" si="30"/>
        <v>508090.8642105264</v>
      </c>
      <c r="F118" s="511">
        <f t="shared" si="31"/>
        <v>1226169.3764139516</v>
      </c>
      <c r="G118" s="511">
        <f t="shared" si="32"/>
        <v>1480214.8085192149</v>
      </c>
      <c r="H118" s="645">
        <f t="shared" si="33"/>
        <v>670372.97164793359</v>
      </c>
      <c r="I118" s="628">
        <f t="shared" si="34"/>
        <v>670372.97164793359</v>
      </c>
      <c r="J118" s="505">
        <f t="shared" si="24"/>
        <v>0</v>
      </c>
      <c r="K118" s="505"/>
      <c r="L118" s="513"/>
      <c r="M118" s="505">
        <f t="shared" si="25"/>
        <v>0</v>
      </c>
      <c r="N118" s="513"/>
      <c r="O118" s="505">
        <f t="shared" si="26"/>
        <v>0</v>
      </c>
      <c r="P118" s="505">
        <f t="shared" si="27"/>
        <v>0</v>
      </c>
    </row>
    <row r="119" spans="2:16" ht="12.5">
      <c r="B119" s="145" t="str">
        <f t="shared" si="23"/>
        <v/>
      </c>
      <c r="C119" s="496">
        <f>IF(D94="","-",+C118+1)</f>
        <v>2036</v>
      </c>
      <c r="D119" s="350">
        <f>IF(F118+SUM(E$100:E118)=D$93,F118,D$93-SUM(E$100:E118))</f>
        <v>1226169.3764139516</v>
      </c>
      <c r="E119" s="510">
        <f t="shared" si="30"/>
        <v>508090.8642105264</v>
      </c>
      <c r="F119" s="511">
        <f t="shared" si="31"/>
        <v>718078.51220342517</v>
      </c>
      <c r="G119" s="511">
        <f t="shared" si="32"/>
        <v>972123.9443086884</v>
      </c>
      <c r="H119" s="645">
        <f t="shared" si="33"/>
        <v>614668.85644842172</v>
      </c>
      <c r="I119" s="628">
        <f t="shared" si="34"/>
        <v>614668.85644842172</v>
      </c>
      <c r="J119" s="505">
        <f t="shared" si="24"/>
        <v>0</v>
      </c>
      <c r="K119" s="505"/>
      <c r="L119" s="513"/>
      <c r="M119" s="505">
        <f t="shared" si="25"/>
        <v>0</v>
      </c>
      <c r="N119" s="513"/>
      <c r="O119" s="505">
        <f t="shared" si="26"/>
        <v>0</v>
      </c>
      <c r="P119" s="505">
        <f t="shared" si="27"/>
        <v>0</v>
      </c>
    </row>
    <row r="120" spans="2:16" ht="12.5">
      <c r="B120" s="145" t="str">
        <f t="shared" si="23"/>
        <v/>
      </c>
      <c r="C120" s="496">
        <f>IF(D94="","-",+C119+1)</f>
        <v>2037</v>
      </c>
      <c r="D120" s="350">
        <f>IF(F119+SUM(E$100:E119)=D$93,F119,D$93-SUM(E$100:E119))</f>
        <v>718078.51220342517</v>
      </c>
      <c r="E120" s="510">
        <f t="shared" si="30"/>
        <v>508090.8642105264</v>
      </c>
      <c r="F120" s="511">
        <f t="shared" si="31"/>
        <v>209987.64799289877</v>
      </c>
      <c r="G120" s="511">
        <f t="shared" si="32"/>
        <v>464033.08009816194</v>
      </c>
      <c r="H120" s="645">
        <f t="shared" si="33"/>
        <v>558964.74124890985</v>
      </c>
      <c r="I120" s="628">
        <f t="shared" si="34"/>
        <v>558964.74124890985</v>
      </c>
      <c r="J120" s="505">
        <f t="shared" si="24"/>
        <v>0</v>
      </c>
      <c r="K120" s="505"/>
      <c r="L120" s="513"/>
      <c r="M120" s="505">
        <f t="shared" si="25"/>
        <v>0</v>
      </c>
      <c r="N120" s="513"/>
      <c r="O120" s="505">
        <f t="shared" si="26"/>
        <v>0</v>
      </c>
      <c r="P120" s="505">
        <f t="shared" si="27"/>
        <v>0</v>
      </c>
    </row>
    <row r="121" spans="2:16" ht="12.5">
      <c r="B121" s="145" t="str">
        <f t="shared" si="23"/>
        <v/>
      </c>
      <c r="C121" s="496">
        <f>IF(D94="","-",+C120+1)</f>
        <v>2038</v>
      </c>
      <c r="D121" s="350">
        <f>IF(F120+SUM(E$100:E120)=D$93,F120,D$93-SUM(E$100:E120))</f>
        <v>209987.64799289877</v>
      </c>
      <c r="E121" s="510">
        <f t="shared" si="30"/>
        <v>209987.64799289877</v>
      </c>
      <c r="F121" s="511">
        <f t="shared" si="31"/>
        <v>0</v>
      </c>
      <c r="G121" s="511">
        <f t="shared" si="32"/>
        <v>104993.82399644938</v>
      </c>
      <c r="H121" s="645">
        <f t="shared" si="33"/>
        <v>221498.55771221255</v>
      </c>
      <c r="I121" s="628">
        <f t="shared" si="34"/>
        <v>221498.55771221255</v>
      </c>
      <c r="J121" s="505">
        <f t="shared" si="24"/>
        <v>0</v>
      </c>
      <c r="K121" s="505"/>
      <c r="L121" s="513"/>
      <c r="M121" s="505">
        <f t="shared" si="25"/>
        <v>0</v>
      </c>
      <c r="N121" s="513"/>
      <c r="O121" s="505">
        <f t="shared" si="26"/>
        <v>0</v>
      </c>
      <c r="P121" s="505">
        <f t="shared" si="27"/>
        <v>0</v>
      </c>
    </row>
    <row r="122" spans="2:16" ht="12.5">
      <c r="B122" s="145" t="str">
        <f t="shared" si="23"/>
        <v/>
      </c>
      <c r="C122" s="496">
        <f>IF(D94="","-",+C121+1)</f>
        <v>2039</v>
      </c>
      <c r="D122" s="350">
        <f>IF(F121+SUM(E$100:E121)=D$93,F121,D$93-SUM(E$100:E121))</f>
        <v>0</v>
      </c>
      <c r="E122" s="510">
        <f t="shared" si="30"/>
        <v>0</v>
      </c>
      <c r="F122" s="511">
        <f t="shared" si="31"/>
        <v>0</v>
      </c>
      <c r="G122" s="511">
        <f t="shared" si="32"/>
        <v>0</v>
      </c>
      <c r="H122" s="645">
        <f t="shared" si="33"/>
        <v>0</v>
      </c>
      <c r="I122" s="628">
        <f t="shared" si="34"/>
        <v>0</v>
      </c>
      <c r="J122" s="505">
        <f t="shared" si="24"/>
        <v>0</v>
      </c>
      <c r="K122" s="505"/>
      <c r="L122" s="513"/>
      <c r="M122" s="505">
        <f t="shared" si="25"/>
        <v>0</v>
      </c>
      <c r="N122" s="513"/>
      <c r="O122" s="505">
        <f t="shared" si="26"/>
        <v>0</v>
      </c>
      <c r="P122" s="505">
        <f t="shared" si="27"/>
        <v>0</v>
      </c>
    </row>
    <row r="123" spans="2:16" ht="12.5">
      <c r="B123" s="145" t="str">
        <f t="shared" si="23"/>
        <v/>
      </c>
      <c r="C123" s="496">
        <f>IF(D94="","-",+C122+1)</f>
        <v>2040</v>
      </c>
      <c r="D123" s="350">
        <f>IF(F122+SUM(E$100:E122)=D$93,F122,D$93-SUM(E$100:E122))</f>
        <v>0</v>
      </c>
      <c r="E123" s="510">
        <f t="shared" si="30"/>
        <v>0</v>
      </c>
      <c r="F123" s="511">
        <f t="shared" si="31"/>
        <v>0</v>
      </c>
      <c r="G123" s="511">
        <f t="shared" si="32"/>
        <v>0</v>
      </c>
      <c r="H123" s="645">
        <f t="shared" si="33"/>
        <v>0</v>
      </c>
      <c r="I123" s="628">
        <f t="shared" si="34"/>
        <v>0</v>
      </c>
      <c r="J123" s="505">
        <f t="shared" si="24"/>
        <v>0</v>
      </c>
      <c r="K123" s="505"/>
      <c r="L123" s="513"/>
      <c r="M123" s="505">
        <f t="shared" si="25"/>
        <v>0</v>
      </c>
      <c r="N123" s="513"/>
      <c r="O123" s="505">
        <f t="shared" si="26"/>
        <v>0</v>
      </c>
      <c r="P123" s="505">
        <f t="shared" si="27"/>
        <v>0</v>
      </c>
    </row>
    <row r="124" spans="2:16" ht="12.5">
      <c r="B124" s="145" t="str">
        <f t="shared" si="23"/>
        <v/>
      </c>
      <c r="C124" s="496">
        <f>IF(D94="","-",+C123+1)</f>
        <v>2041</v>
      </c>
      <c r="D124" s="350">
        <f>IF(F123+SUM(E$100:E123)=D$93,F123,D$93-SUM(E$100:E123))</f>
        <v>0</v>
      </c>
      <c r="E124" s="510">
        <f t="shared" si="30"/>
        <v>0</v>
      </c>
      <c r="F124" s="511">
        <f t="shared" si="31"/>
        <v>0</v>
      </c>
      <c r="G124" s="511">
        <f t="shared" si="32"/>
        <v>0</v>
      </c>
      <c r="H124" s="645">
        <f t="shared" si="33"/>
        <v>0</v>
      </c>
      <c r="I124" s="628">
        <f t="shared" si="34"/>
        <v>0</v>
      </c>
      <c r="J124" s="505">
        <f t="shared" si="24"/>
        <v>0</v>
      </c>
      <c r="K124" s="505"/>
      <c r="L124" s="513"/>
      <c r="M124" s="505">
        <f t="shared" si="25"/>
        <v>0</v>
      </c>
      <c r="N124" s="513"/>
      <c r="O124" s="505">
        <f t="shared" si="26"/>
        <v>0</v>
      </c>
      <c r="P124" s="505">
        <f t="shared" si="27"/>
        <v>0</v>
      </c>
    </row>
    <row r="125" spans="2:16" ht="12.5">
      <c r="B125" s="145" t="str">
        <f t="shared" si="23"/>
        <v/>
      </c>
      <c r="C125" s="496">
        <f>IF(D94="","-",+C124+1)</f>
        <v>2042</v>
      </c>
      <c r="D125" s="350">
        <f>IF(F124+SUM(E$100:E124)=D$93,F124,D$93-SUM(E$100:E124))</f>
        <v>0</v>
      </c>
      <c r="E125" s="510">
        <f t="shared" si="30"/>
        <v>0</v>
      </c>
      <c r="F125" s="511">
        <f t="shared" si="31"/>
        <v>0</v>
      </c>
      <c r="G125" s="511">
        <f t="shared" si="32"/>
        <v>0</v>
      </c>
      <c r="H125" s="645">
        <f t="shared" si="33"/>
        <v>0</v>
      </c>
      <c r="I125" s="628">
        <f t="shared" si="34"/>
        <v>0</v>
      </c>
      <c r="J125" s="505">
        <f t="shared" si="24"/>
        <v>0</v>
      </c>
      <c r="K125" s="505"/>
      <c r="L125" s="513"/>
      <c r="M125" s="505">
        <f t="shared" si="25"/>
        <v>0</v>
      </c>
      <c r="N125" s="513"/>
      <c r="O125" s="505">
        <f t="shared" si="26"/>
        <v>0</v>
      </c>
      <c r="P125" s="505">
        <f t="shared" si="27"/>
        <v>0</v>
      </c>
    </row>
    <row r="126" spans="2:16" ht="12.5">
      <c r="B126" s="145" t="str">
        <f t="shared" si="23"/>
        <v/>
      </c>
      <c r="C126" s="496">
        <f>IF(D94="","-",+C125+1)</f>
        <v>2043</v>
      </c>
      <c r="D126" s="350">
        <f>IF(F125+SUM(E$100:E125)=D$93,F125,D$93-SUM(E$100:E125))</f>
        <v>0</v>
      </c>
      <c r="E126" s="510">
        <f t="shared" si="30"/>
        <v>0</v>
      </c>
      <c r="F126" s="511">
        <f t="shared" si="31"/>
        <v>0</v>
      </c>
      <c r="G126" s="511">
        <f t="shared" si="32"/>
        <v>0</v>
      </c>
      <c r="H126" s="645">
        <f t="shared" si="33"/>
        <v>0</v>
      </c>
      <c r="I126" s="628">
        <f t="shared" si="34"/>
        <v>0</v>
      </c>
      <c r="J126" s="505">
        <f t="shared" si="24"/>
        <v>0</v>
      </c>
      <c r="K126" s="505"/>
      <c r="L126" s="513"/>
      <c r="M126" s="505">
        <f t="shared" si="25"/>
        <v>0</v>
      </c>
      <c r="N126" s="513"/>
      <c r="O126" s="505">
        <f t="shared" si="26"/>
        <v>0</v>
      </c>
      <c r="P126" s="505">
        <f t="shared" si="27"/>
        <v>0</v>
      </c>
    </row>
    <row r="127" spans="2:16" ht="12.5">
      <c r="B127" s="145" t="str">
        <f t="shared" si="23"/>
        <v/>
      </c>
      <c r="C127" s="496">
        <f>IF(D94="","-",+C126+1)</f>
        <v>2044</v>
      </c>
      <c r="D127" s="350">
        <f>IF(F126+SUM(E$100:E126)=D$93,F126,D$93-SUM(E$100:E126))</f>
        <v>0</v>
      </c>
      <c r="E127" s="510">
        <f t="shared" si="30"/>
        <v>0</v>
      </c>
      <c r="F127" s="511">
        <f t="shared" si="31"/>
        <v>0</v>
      </c>
      <c r="G127" s="511">
        <f t="shared" si="32"/>
        <v>0</v>
      </c>
      <c r="H127" s="645">
        <f t="shared" si="33"/>
        <v>0</v>
      </c>
      <c r="I127" s="628">
        <f t="shared" si="34"/>
        <v>0</v>
      </c>
      <c r="J127" s="505">
        <f t="shared" si="24"/>
        <v>0</v>
      </c>
      <c r="K127" s="505"/>
      <c r="L127" s="513"/>
      <c r="M127" s="505">
        <f t="shared" si="25"/>
        <v>0</v>
      </c>
      <c r="N127" s="513"/>
      <c r="O127" s="505">
        <f t="shared" si="26"/>
        <v>0</v>
      </c>
      <c r="P127" s="505">
        <f t="shared" si="27"/>
        <v>0</v>
      </c>
    </row>
    <row r="128" spans="2:16" ht="12.5">
      <c r="B128" s="145" t="str">
        <f t="shared" si="23"/>
        <v/>
      </c>
      <c r="C128" s="496">
        <f>IF(D94="","-",+C127+1)</f>
        <v>2045</v>
      </c>
      <c r="D128" s="350">
        <f>IF(F127+SUM(E$100:E127)=D$93,F127,D$93-SUM(E$100:E127))</f>
        <v>0</v>
      </c>
      <c r="E128" s="510">
        <f t="shared" si="30"/>
        <v>0</v>
      </c>
      <c r="F128" s="511">
        <f t="shared" si="31"/>
        <v>0</v>
      </c>
      <c r="G128" s="511">
        <f t="shared" si="32"/>
        <v>0</v>
      </c>
      <c r="H128" s="645">
        <f t="shared" si="33"/>
        <v>0</v>
      </c>
      <c r="I128" s="628">
        <f t="shared" si="34"/>
        <v>0</v>
      </c>
      <c r="J128" s="505">
        <f t="shared" si="24"/>
        <v>0</v>
      </c>
      <c r="K128" s="505"/>
      <c r="L128" s="513"/>
      <c r="M128" s="505">
        <f t="shared" si="25"/>
        <v>0</v>
      </c>
      <c r="N128" s="513"/>
      <c r="O128" s="505">
        <f t="shared" si="26"/>
        <v>0</v>
      </c>
      <c r="P128" s="505">
        <f t="shared" si="27"/>
        <v>0</v>
      </c>
    </row>
    <row r="129" spans="2:16" ht="12.5">
      <c r="B129" s="145" t="str">
        <f t="shared" si="23"/>
        <v/>
      </c>
      <c r="C129" s="496">
        <f>IF(D94="","-",+C128+1)</f>
        <v>2046</v>
      </c>
      <c r="D129" s="350">
        <f>IF(F128+SUM(E$100:E128)=D$93,F128,D$93-SUM(E$100:E128))</f>
        <v>0</v>
      </c>
      <c r="E129" s="510">
        <f t="shared" si="30"/>
        <v>0</v>
      </c>
      <c r="F129" s="511">
        <f t="shared" si="31"/>
        <v>0</v>
      </c>
      <c r="G129" s="511">
        <f t="shared" si="32"/>
        <v>0</v>
      </c>
      <c r="H129" s="645">
        <f t="shared" si="33"/>
        <v>0</v>
      </c>
      <c r="I129" s="628">
        <f t="shared" si="34"/>
        <v>0</v>
      </c>
      <c r="J129" s="505">
        <f t="shared" si="24"/>
        <v>0</v>
      </c>
      <c r="K129" s="505"/>
      <c r="L129" s="513"/>
      <c r="M129" s="505">
        <f t="shared" si="25"/>
        <v>0</v>
      </c>
      <c r="N129" s="513"/>
      <c r="O129" s="505">
        <f t="shared" si="26"/>
        <v>0</v>
      </c>
      <c r="P129" s="505">
        <f t="shared" si="27"/>
        <v>0</v>
      </c>
    </row>
    <row r="130" spans="2:16" ht="12.5">
      <c r="B130" s="145" t="str">
        <f t="shared" si="23"/>
        <v/>
      </c>
      <c r="C130" s="496">
        <f>IF(D94="","-",+C129+1)</f>
        <v>2047</v>
      </c>
      <c r="D130" s="350">
        <f>IF(F129+SUM(E$100:E129)=D$93,F129,D$93-SUM(E$100:E129))</f>
        <v>0</v>
      </c>
      <c r="E130" s="510">
        <f t="shared" si="30"/>
        <v>0</v>
      </c>
      <c r="F130" s="511">
        <f t="shared" si="31"/>
        <v>0</v>
      </c>
      <c r="G130" s="511">
        <f t="shared" si="32"/>
        <v>0</v>
      </c>
      <c r="H130" s="645">
        <f t="shared" si="33"/>
        <v>0</v>
      </c>
      <c r="I130" s="628">
        <f t="shared" si="34"/>
        <v>0</v>
      </c>
      <c r="J130" s="505">
        <f t="shared" si="24"/>
        <v>0</v>
      </c>
      <c r="K130" s="505"/>
      <c r="L130" s="513"/>
      <c r="M130" s="505">
        <f t="shared" si="25"/>
        <v>0</v>
      </c>
      <c r="N130" s="513"/>
      <c r="O130" s="505">
        <f t="shared" si="26"/>
        <v>0</v>
      </c>
      <c r="P130" s="505">
        <f t="shared" si="27"/>
        <v>0</v>
      </c>
    </row>
    <row r="131" spans="2:16" ht="12.5">
      <c r="B131" s="145" t="str">
        <f t="shared" si="23"/>
        <v/>
      </c>
      <c r="C131" s="496">
        <f>IF(D94="","-",+C130+1)</f>
        <v>2048</v>
      </c>
      <c r="D131" s="350">
        <f>IF(F130+SUM(E$100:E130)=D$93,F130,D$93-SUM(E$100:E130))</f>
        <v>0</v>
      </c>
      <c r="E131" s="510">
        <f t="shared" si="30"/>
        <v>0</v>
      </c>
      <c r="F131" s="511">
        <f t="shared" si="31"/>
        <v>0</v>
      </c>
      <c r="G131" s="511">
        <f t="shared" si="32"/>
        <v>0</v>
      </c>
      <c r="H131" s="645">
        <f t="shared" si="33"/>
        <v>0</v>
      </c>
      <c r="I131" s="628">
        <f t="shared" si="34"/>
        <v>0</v>
      </c>
      <c r="J131" s="505">
        <f t="shared" si="24"/>
        <v>0</v>
      </c>
      <c r="K131" s="505"/>
      <c r="L131" s="513"/>
      <c r="M131" s="505">
        <f t="shared" si="25"/>
        <v>0</v>
      </c>
      <c r="N131" s="513"/>
      <c r="O131" s="505">
        <f t="shared" si="26"/>
        <v>0</v>
      </c>
      <c r="P131" s="505">
        <f t="shared" si="27"/>
        <v>0</v>
      </c>
    </row>
    <row r="132" spans="2:16" ht="12.5">
      <c r="B132" s="145" t="str">
        <f t="shared" si="23"/>
        <v/>
      </c>
      <c r="C132" s="496">
        <f>IF(D94="","-",+C131+1)</f>
        <v>2049</v>
      </c>
      <c r="D132" s="350">
        <f>IF(F131+SUM(E$100:E131)=D$93,F131,D$93-SUM(E$100:E131))</f>
        <v>0</v>
      </c>
      <c r="E132" s="510">
        <f t="shared" si="30"/>
        <v>0</v>
      </c>
      <c r="F132" s="511">
        <f t="shared" ref="F132:F155" si="35">+D132-E132</f>
        <v>0</v>
      </c>
      <c r="G132" s="511">
        <f t="shared" ref="G132:G155" si="36">+(F132+D132)/2</f>
        <v>0</v>
      </c>
      <c r="H132" s="645">
        <f t="shared" si="33"/>
        <v>0</v>
      </c>
      <c r="I132" s="628">
        <f t="shared" si="34"/>
        <v>0</v>
      </c>
      <c r="J132" s="505">
        <f t="shared" ref="J132:J155" si="37">+I542-H542</f>
        <v>0</v>
      </c>
      <c r="K132" s="505"/>
      <c r="L132" s="513"/>
      <c r="M132" s="505">
        <f t="shared" ref="M132:M155" si="38">IF(L542&lt;&gt;0,+H542-L542,0)</f>
        <v>0</v>
      </c>
      <c r="N132" s="513"/>
      <c r="O132" s="505">
        <f t="shared" ref="O132:O155" si="39">IF(N542&lt;&gt;0,+I542-N542,0)</f>
        <v>0</v>
      </c>
      <c r="P132" s="505">
        <f t="shared" ref="P132:P155" si="40">+O542-M542</f>
        <v>0</v>
      </c>
    </row>
    <row r="133" spans="2:16" ht="12.5">
      <c r="B133" s="145" t="str">
        <f t="shared" si="23"/>
        <v/>
      </c>
      <c r="C133" s="496">
        <f>IF(D94="","-",+C132+1)</f>
        <v>2050</v>
      </c>
      <c r="D133" s="350">
        <f>IF(F132+SUM(E$100:E132)=D$93,F132,D$93-SUM(E$100:E132))</f>
        <v>0</v>
      </c>
      <c r="E133" s="510">
        <f t="shared" ref="E133:E155" si="41">IF(+J$97&lt;F132,J$97,D133)</f>
        <v>0</v>
      </c>
      <c r="F133" s="511">
        <f t="shared" si="35"/>
        <v>0</v>
      </c>
      <c r="G133" s="511">
        <f t="shared" si="36"/>
        <v>0</v>
      </c>
      <c r="H133" s="645">
        <f t="shared" si="33"/>
        <v>0</v>
      </c>
      <c r="I133" s="628">
        <f t="shared" si="34"/>
        <v>0</v>
      </c>
      <c r="J133" s="505">
        <f t="shared" si="37"/>
        <v>0</v>
      </c>
      <c r="K133" s="505"/>
      <c r="L133" s="513"/>
      <c r="M133" s="505">
        <f t="shared" si="38"/>
        <v>0</v>
      </c>
      <c r="N133" s="513"/>
      <c r="O133" s="505">
        <f t="shared" si="39"/>
        <v>0</v>
      </c>
      <c r="P133" s="505">
        <f t="shared" si="40"/>
        <v>0</v>
      </c>
    </row>
    <row r="134" spans="2:16" ht="12.5">
      <c r="B134" s="145" t="str">
        <f t="shared" si="23"/>
        <v/>
      </c>
      <c r="C134" s="496">
        <f>IF(D94="","-",+C133+1)</f>
        <v>2051</v>
      </c>
      <c r="D134" s="350">
        <f>IF(F133+SUM(E$100:E133)=D$93,F133,D$93-SUM(E$100:E133))</f>
        <v>0</v>
      </c>
      <c r="E134" s="510">
        <f t="shared" si="41"/>
        <v>0</v>
      </c>
      <c r="F134" s="511">
        <f t="shared" si="35"/>
        <v>0</v>
      </c>
      <c r="G134" s="511">
        <f t="shared" si="36"/>
        <v>0</v>
      </c>
      <c r="H134" s="645">
        <f t="shared" si="33"/>
        <v>0</v>
      </c>
      <c r="I134" s="628">
        <f t="shared" si="34"/>
        <v>0</v>
      </c>
      <c r="J134" s="505">
        <f t="shared" si="37"/>
        <v>0</v>
      </c>
      <c r="K134" s="505"/>
      <c r="L134" s="513"/>
      <c r="M134" s="505">
        <f t="shared" si="38"/>
        <v>0</v>
      </c>
      <c r="N134" s="513"/>
      <c r="O134" s="505">
        <f t="shared" si="39"/>
        <v>0</v>
      </c>
      <c r="P134" s="505">
        <f t="shared" si="40"/>
        <v>0</v>
      </c>
    </row>
    <row r="135" spans="2:16" ht="12.5">
      <c r="B135" s="145" t="str">
        <f t="shared" si="23"/>
        <v/>
      </c>
      <c r="C135" s="496">
        <f>IF(D94="","-",+C134+1)</f>
        <v>2052</v>
      </c>
      <c r="D135" s="350">
        <f>IF(F134+SUM(E$100:E134)=D$93,F134,D$93-SUM(E$100:E134))</f>
        <v>0</v>
      </c>
      <c r="E135" s="510">
        <f t="shared" si="41"/>
        <v>0</v>
      </c>
      <c r="F135" s="511">
        <f t="shared" si="35"/>
        <v>0</v>
      </c>
      <c r="G135" s="511">
        <f t="shared" si="36"/>
        <v>0</v>
      </c>
      <c r="H135" s="645">
        <f t="shared" si="33"/>
        <v>0</v>
      </c>
      <c r="I135" s="628">
        <f t="shared" si="34"/>
        <v>0</v>
      </c>
      <c r="J135" s="505">
        <f t="shared" si="37"/>
        <v>0</v>
      </c>
      <c r="K135" s="505"/>
      <c r="L135" s="513"/>
      <c r="M135" s="505">
        <f t="shared" si="38"/>
        <v>0</v>
      </c>
      <c r="N135" s="513"/>
      <c r="O135" s="505">
        <f t="shared" si="39"/>
        <v>0</v>
      </c>
      <c r="P135" s="505">
        <f t="shared" si="40"/>
        <v>0</v>
      </c>
    </row>
    <row r="136" spans="2:16" ht="12.5">
      <c r="B136" s="145" t="str">
        <f t="shared" si="23"/>
        <v/>
      </c>
      <c r="C136" s="496">
        <f>IF(D94="","-",+C135+1)</f>
        <v>2053</v>
      </c>
      <c r="D136" s="350">
        <f>IF(F135+SUM(E$100:E135)=D$93,F135,D$93-SUM(E$100:E135))</f>
        <v>0</v>
      </c>
      <c r="E136" s="510">
        <f t="shared" si="41"/>
        <v>0</v>
      </c>
      <c r="F136" s="511">
        <f t="shared" si="35"/>
        <v>0</v>
      </c>
      <c r="G136" s="511">
        <f t="shared" si="36"/>
        <v>0</v>
      </c>
      <c r="H136" s="645">
        <f t="shared" si="33"/>
        <v>0</v>
      </c>
      <c r="I136" s="628">
        <f t="shared" si="34"/>
        <v>0</v>
      </c>
      <c r="J136" s="505">
        <f t="shared" si="37"/>
        <v>0</v>
      </c>
      <c r="K136" s="505"/>
      <c r="L136" s="513"/>
      <c r="M136" s="505">
        <f t="shared" si="38"/>
        <v>0</v>
      </c>
      <c r="N136" s="513"/>
      <c r="O136" s="505">
        <f t="shared" si="39"/>
        <v>0</v>
      </c>
      <c r="P136" s="505">
        <f t="shared" si="40"/>
        <v>0</v>
      </c>
    </row>
    <row r="137" spans="2:16" ht="12.5">
      <c r="B137" s="145" t="str">
        <f t="shared" si="23"/>
        <v/>
      </c>
      <c r="C137" s="496">
        <f>IF(D94="","-",+C136+1)</f>
        <v>2054</v>
      </c>
      <c r="D137" s="350">
        <f>IF(F136+SUM(E$100:E136)=D$93,F136,D$93-SUM(E$100:E136))</f>
        <v>0</v>
      </c>
      <c r="E137" s="510">
        <f t="shared" si="41"/>
        <v>0</v>
      </c>
      <c r="F137" s="511">
        <f t="shared" si="35"/>
        <v>0</v>
      </c>
      <c r="G137" s="511">
        <f t="shared" si="36"/>
        <v>0</v>
      </c>
      <c r="H137" s="645">
        <f t="shared" si="33"/>
        <v>0</v>
      </c>
      <c r="I137" s="628">
        <f t="shared" si="34"/>
        <v>0</v>
      </c>
      <c r="J137" s="505">
        <f t="shared" si="37"/>
        <v>0</v>
      </c>
      <c r="K137" s="505"/>
      <c r="L137" s="513"/>
      <c r="M137" s="505">
        <f t="shared" si="38"/>
        <v>0</v>
      </c>
      <c r="N137" s="513"/>
      <c r="O137" s="505">
        <f t="shared" si="39"/>
        <v>0</v>
      </c>
      <c r="P137" s="505">
        <f t="shared" si="40"/>
        <v>0</v>
      </c>
    </row>
    <row r="138" spans="2:16" ht="12.5">
      <c r="B138" s="145" t="str">
        <f t="shared" si="23"/>
        <v/>
      </c>
      <c r="C138" s="496">
        <f>IF(D94="","-",+C137+1)</f>
        <v>2055</v>
      </c>
      <c r="D138" s="350">
        <f>IF(F137+SUM(E$100:E137)=D$93,F137,D$93-SUM(E$100:E137))</f>
        <v>0</v>
      </c>
      <c r="E138" s="510">
        <f t="shared" si="41"/>
        <v>0</v>
      </c>
      <c r="F138" s="511">
        <f t="shared" si="35"/>
        <v>0</v>
      </c>
      <c r="G138" s="511">
        <f t="shared" si="36"/>
        <v>0</v>
      </c>
      <c r="H138" s="645">
        <f t="shared" si="33"/>
        <v>0</v>
      </c>
      <c r="I138" s="628">
        <f t="shared" si="34"/>
        <v>0</v>
      </c>
      <c r="J138" s="505">
        <f t="shared" si="37"/>
        <v>0</v>
      </c>
      <c r="K138" s="505"/>
      <c r="L138" s="513"/>
      <c r="M138" s="505">
        <f t="shared" si="38"/>
        <v>0</v>
      </c>
      <c r="N138" s="513"/>
      <c r="O138" s="505">
        <f t="shared" si="39"/>
        <v>0</v>
      </c>
      <c r="P138" s="505">
        <f t="shared" si="40"/>
        <v>0</v>
      </c>
    </row>
    <row r="139" spans="2:16" ht="12.5">
      <c r="B139" s="145" t="str">
        <f t="shared" si="23"/>
        <v/>
      </c>
      <c r="C139" s="496">
        <f>IF(D94="","-",+C138+1)</f>
        <v>2056</v>
      </c>
      <c r="D139" s="350">
        <f>IF(F138+SUM(E$100:E138)=D$93,F138,D$93-SUM(E$100:E138))</f>
        <v>0</v>
      </c>
      <c r="E139" s="510">
        <f t="shared" si="41"/>
        <v>0</v>
      </c>
      <c r="F139" s="511">
        <f t="shared" si="35"/>
        <v>0</v>
      </c>
      <c r="G139" s="511">
        <f t="shared" si="36"/>
        <v>0</v>
      </c>
      <c r="H139" s="645">
        <f t="shared" si="33"/>
        <v>0</v>
      </c>
      <c r="I139" s="628">
        <f t="shared" si="34"/>
        <v>0</v>
      </c>
      <c r="J139" s="505">
        <f t="shared" si="37"/>
        <v>0</v>
      </c>
      <c r="K139" s="505"/>
      <c r="L139" s="513"/>
      <c r="M139" s="505">
        <f t="shared" si="38"/>
        <v>0</v>
      </c>
      <c r="N139" s="513"/>
      <c r="O139" s="505">
        <f t="shared" si="39"/>
        <v>0</v>
      </c>
      <c r="P139" s="505">
        <f t="shared" si="40"/>
        <v>0</v>
      </c>
    </row>
    <row r="140" spans="2:16" ht="12.5">
      <c r="B140" s="145" t="str">
        <f t="shared" si="23"/>
        <v/>
      </c>
      <c r="C140" s="496">
        <f>IF(D94="","-",+C139+1)</f>
        <v>2057</v>
      </c>
      <c r="D140" s="350">
        <f>IF(F139+SUM(E$100:E139)=D$93,F139,D$93-SUM(E$100:E139))</f>
        <v>0</v>
      </c>
      <c r="E140" s="510">
        <f t="shared" si="41"/>
        <v>0</v>
      </c>
      <c r="F140" s="511">
        <f t="shared" si="35"/>
        <v>0</v>
      </c>
      <c r="G140" s="511">
        <f t="shared" si="36"/>
        <v>0</v>
      </c>
      <c r="H140" s="645">
        <f t="shared" si="33"/>
        <v>0</v>
      </c>
      <c r="I140" s="628">
        <f t="shared" si="34"/>
        <v>0</v>
      </c>
      <c r="J140" s="505">
        <f t="shared" si="37"/>
        <v>0</v>
      </c>
      <c r="K140" s="505"/>
      <c r="L140" s="513"/>
      <c r="M140" s="505">
        <f t="shared" si="38"/>
        <v>0</v>
      </c>
      <c r="N140" s="513"/>
      <c r="O140" s="505">
        <f t="shared" si="39"/>
        <v>0</v>
      </c>
      <c r="P140" s="505">
        <f t="shared" si="40"/>
        <v>0</v>
      </c>
    </row>
    <row r="141" spans="2:16" ht="12.5">
      <c r="B141" s="145" t="str">
        <f t="shared" si="23"/>
        <v/>
      </c>
      <c r="C141" s="496">
        <f>IF(D94="","-",+C140+1)</f>
        <v>2058</v>
      </c>
      <c r="D141" s="350">
        <f>IF(F140+SUM(E$100:E140)=D$93,F140,D$93-SUM(E$100:E140))</f>
        <v>0</v>
      </c>
      <c r="E141" s="510">
        <f t="shared" si="41"/>
        <v>0</v>
      </c>
      <c r="F141" s="511">
        <f t="shared" si="35"/>
        <v>0</v>
      </c>
      <c r="G141" s="511">
        <f t="shared" si="36"/>
        <v>0</v>
      </c>
      <c r="H141" s="645">
        <f t="shared" si="33"/>
        <v>0</v>
      </c>
      <c r="I141" s="628">
        <f t="shared" si="34"/>
        <v>0</v>
      </c>
      <c r="J141" s="505">
        <f t="shared" si="37"/>
        <v>0</v>
      </c>
      <c r="K141" s="505"/>
      <c r="L141" s="513"/>
      <c r="M141" s="505">
        <f t="shared" si="38"/>
        <v>0</v>
      </c>
      <c r="N141" s="513"/>
      <c r="O141" s="505">
        <f t="shared" si="39"/>
        <v>0</v>
      </c>
      <c r="P141" s="505">
        <f t="shared" si="40"/>
        <v>0</v>
      </c>
    </row>
    <row r="142" spans="2:16" ht="12.5">
      <c r="B142" s="145" t="str">
        <f t="shared" si="23"/>
        <v/>
      </c>
      <c r="C142" s="496">
        <f>IF(D94="","-",+C141+1)</f>
        <v>2059</v>
      </c>
      <c r="D142" s="350">
        <f>IF(F141+SUM(E$100:E141)=D$93,F141,D$93-SUM(E$100:E141))</f>
        <v>0</v>
      </c>
      <c r="E142" s="510">
        <f t="shared" si="41"/>
        <v>0</v>
      </c>
      <c r="F142" s="511">
        <f t="shared" si="35"/>
        <v>0</v>
      </c>
      <c r="G142" s="511">
        <f t="shared" si="36"/>
        <v>0</v>
      </c>
      <c r="H142" s="645">
        <f t="shared" si="33"/>
        <v>0</v>
      </c>
      <c r="I142" s="628">
        <f t="shared" si="34"/>
        <v>0</v>
      </c>
      <c r="J142" s="505">
        <f t="shared" si="37"/>
        <v>0</v>
      </c>
      <c r="K142" s="505"/>
      <c r="L142" s="513"/>
      <c r="M142" s="505">
        <f t="shared" si="38"/>
        <v>0</v>
      </c>
      <c r="N142" s="513"/>
      <c r="O142" s="505">
        <f t="shared" si="39"/>
        <v>0</v>
      </c>
      <c r="P142" s="505">
        <f t="shared" si="40"/>
        <v>0</v>
      </c>
    </row>
    <row r="143" spans="2:16" ht="12.5">
      <c r="B143" s="145" t="str">
        <f t="shared" si="23"/>
        <v/>
      </c>
      <c r="C143" s="496">
        <f>IF(D94="","-",+C142+1)</f>
        <v>2060</v>
      </c>
      <c r="D143" s="350">
        <f>IF(F142+SUM(E$100:E142)=D$93,F142,D$93-SUM(E$100:E142))</f>
        <v>0</v>
      </c>
      <c r="E143" s="510">
        <f t="shared" si="41"/>
        <v>0</v>
      </c>
      <c r="F143" s="511">
        <f t="shared" si="35"/>
        <v>0</v>
      </c>
      <c r="G143" s="511">
        <f t="shared" si="36"/>
        <v>0</v>
      </c>
      <c r="H143" s="645">
        <f t="shared" si="33"/>
        <v>0</v>
      </c>
      <c r="I143" s="628">
        <f t="shared" si="34"/>
        <v>0</v>
      </c>
      <c r="J143" s="505">
        <f t="shared" si="37"/>
        <v>0</v>
      </c>
      <c r="K143" s="505"/>
      <c r="L143" s="513"/>
      <c r="M143" s="505">
        <f t="shared" si="38"/>
        <v>0</v>
      </c>
      <c r="N143" s="513"/>
      <c r="O143" s="505">
        <f t="shared" si="39"/>
        <v>0</v>
      </c>
      <c r="P143" s="505">
        <f t="shared" si="40"/>
        <v>0</v>
      </c>
    </row>
    <row r="144" spans="2:16" ht="12.5">
      <c r="B144" s="145" t="str">
        <f t="shared" si="23"/>
        <v/>
      </c>
      <c r="C144" s="496">
        <f>IF(D94="","-",+C143+1)</f>
        <v>2061</v>
      </c>
      <c r="D144" s="350">
        <f>IF(F143+SUM(E$100:E143)=D$93,F143,D$93-SUM(E$100:E143))</f>
        <v>0</v>
      </c>
      <c r="E144" s="510">
        <f t="shared" si="41"/>
        <v>0</v>
      </c>
      <c r="F144" s="511">
        <f t="shared" si="35"/>
        <v>0</v>
      </c>
      <c r="G144" s="511">
        <f t="shared" si="36"/>
        <v>0</v>
      </c>
      <c r="H144" s="645">
        <f t="shared" si="33"/>
        <v>0</v>
      </c>
      <c r="I144" s="628">
        <f t="shared" si="34"/>
        <v>0</v>
      </c>
      <c r="J144" s="505">
        <f t="shared" si="37"/>
        <v>0</v>
      </c>
      <c r="K144" s="505"/>
      <c r="L144" s="513"/>
      <c r="M144" s="505">
        <f t="shared" si="38"/>
        <v>0</v>
      </c>
      <c r="N144" s="513"/>
      <c r="O144" s="505">
        <f t="shared" si="39"/>
        <v>0</v>
      </c>
      <c r="P144" s="505">
        <f t="shared" si="40"/>
        <v>0</v>
      </c>
    </row>
    <row r="145" spans="2:16" ht="12.5">
      <c r="B145" s="145" t="str">
        <f t="shared" si="23"/>
        <v/>
      </c>
      <c r="C145" s="496">
        <f>IF(D94="","-",+C144+1)</f>
        <v>2062</v>
      </c>
      <c r="D145" s="350">
        <f>IF(F144+SUM(E$100:E144)=D$93,F144,D$93-SUM(E$100:E144))</f>
        <v>0</v>
      </c>
      <c r="E145" s="510">
        <f t="shared" si="41"/>
        <v>0</v>
      </c>
      <c r="F145" s="511">
        <f t="shared" si="35"/>
        <v>0</v>
      </c>
      <c r="G145" s="511">
        <f t="shared" si="36"/>
        <v>0</v>
      </c>
      <c r="H145" s="645">
        <f t="shared" si="33"/>
        <v>0</v>
      </c>
      <c r="I145" s="628">
        <f t="shared" si="34"/>
        <v>0</v>
      </c>
      <c r="J145" s="505">
        <f t="shared" si="37"/>
        <v>0</v>
      </c>
      <c r="K145" s="505"/>
      <c r="L145" s="513"/>
      <c r="M145" s="505">
        <f t="shared" si="38"/>
        <v>0</v>
      </c>
      <c r="N145" s="513"/>
      <c r="O145" s="505">
        <f t="shared" si="39"/>
        <v>0</v>
      </c>
      <c r="P145" s="505">
        <f t="shared" si="40"/>
        <v>0</v>
      </c>
    </row>
    <row r="146" spans="2:16" ht="12.5">
      <c r="B146" s="145" t="str">
        <f t="shared" si="23"/>
        <v/>
      </c>
      <c r="C146" s="496">
        <f>IF(D94="","-",+C145+1)</f>
        <v>2063</v>
      </c>
      <c r="D146" s="350">
        <f>IF(F145+SUM(E$100:E145)=D$93,F145,D$93-SUM(E$100:E145))</f>
        <v>0</v>
      </c>
      <c r="E146" s="510">
        <f t="shared" si="41"/>
        <v>0</v>
      </c>
      <c r="F146" s="511">
        <f t="shared" si="35"/>
        <v>0</v>
      </c>
      <c r="G146" s="511">
        <f t="shared" si="36"/>
        <v>0</v>
      </c>
      <c r="H146" s="645">
        <f t="shared" si="33"/>
        <v>0</v>
      </c>
      <c r="I146" s="628">
        <f t="shared" si="34"/>
        <v>0</v>
      </c>
      <c r="J146" s="505">
        <f t="shared" si="37"/>
        <v>0</v>
      </c>
      <c r="K146" s="505"/>
      <c r="L146" s="513"/>
      <c r="M146" s="505">
        <f t="shared" si="38"/>
        <v>0</v>
      </c>
      <c r="N146" s="513"/>
      <c r="O146" s="505">
        <f t="shared" si="39"/>
        <v>0</v>
      </c>
      <c r="P146" s="505">
        <f t="shared" si="40"/>
        <v>0</v>
      </c>
    </row>
    <row r="147" spans="2:16" ht="12.5">
      <c r="B147" s="145" t="str">
        <f t="shared" si="23"/>
        <v/>
      </c>
      <c r="C147" s="496">
        <f>IF(D94="","-",+C146+1)</f>
        <v>2064</v>
      </c>
      <c r="D147" s="350">
        <f>IF(F146+SUM(E$100:E146)=D$93,F146,D$93-SUM(E$100:E146))</f>
        <v>0</v>
      </c>
      <c r="E147" s="510">
        <f t="shared" si="41"/>
        <v>0</v>
      </c>
      <c r="F147" s="511">
        <f t="shared" si="35"/>
        <v>0</v>
      </c>
      <c r="G147" s="511">
        <f t="shared" si="36"/>
        <v>0</v>
      </c>
      <c r="H147" s="645">
        <f t="shared" si="33"/>
        <v>0</v>
      </c>
      <c r="I147" s="628">
        <f t="shared" si="34"/>
        <v>0</v>
      </c>
      <c r="J147" s="505">
        <f t="shared" si="37"/>
        <v>0</v>
      </c>
      <c r="K147" s="505"/>
      <c r="L147" s="513"/>
      <c r="M147" s="505">
        <f t="shared" si="38"/>
        <v>0</v>
      </c>
      <c r="N147" s="513"/>
      <c r="O147" s="505">
        <f t="shared" si="39"/>
        <v>0</v>
      </c>
      <c r="P147" s="505">
        <f t="shared" si="40"/>
        <v>0</v>
      </c>
    </row>
    <row r="148" spans="2:16" ht="12.5">
      <c r="B148" s="145" t="str">
        <f t="shared" si="23"/>
        <v/>
      </c>
      <c r="C148" s="496">
        <f>IF(D94="","-",+C147+1)</f>
        <v>2065</v>
      </c>
      <c r="D148" s="350">
        <f>IF(F147+SUM(E$100:E147)=D$93,F147,D$93-SUM(E$100:E147))</f>
        <v>0</v>
      </c>
      <c r="E148" s="510">
        <f t="shared" si="41"/>
        <v>0</v>
      </c>
      <c r="F148" s="511">
        <f t="shared" si="35"/>
        <v>0</v>
      </c>
      <c r="G148" s="511">
        <f t="shared" si="36"/>
        <v>0</v>
      </c>
      <c r="H148" s="645">
        <f t="shared" si="33"/>
        <v>0</v>
      </c>
      <c r="I148" s="628">
        <f t="shared" si="34"/>
        <v>0</v>
      </c>
      <c r="J148" s="505">
        <f t="shared" si="37"/>
        <v>0</v>
      </c>
      <c r="K148" s="505"/>
      <c r="L148" s="513"/>
      <c r="M148" s="505">
        <f t="shared" si="38"/>
        <v>0</v>
      </c>
      <c r="N148" s="513"/>
      <c r="O148" s="505">
        <f t="shared" si="39"/>
        <v>0</v>
      </c>
      <c r="P148" s="505">
        <f t="shared" si="40"/>
        <v>0</v>
      </c>
    </row>
    <row r="149" spans="2:16" ht="12.5">
      <c r="B149" s="145" t="str">
        <f t="shared" si="23"/>
        <v/>
      </c>
      <c r="C149" s="496">
        <f>IF(D94="","-",+C148+1)</f>
        <v>2066</v>
      </c>
      <c r="D149" s="350">
        <f>IF(F148+SUM(E$100:E148)=D$93,F148,D$93-SUM(E$100:E148))</f>
        <v>0</v>
      </c>
      <c r="E149" s="510">
        <f t="shared" si="41"/>
        <v>0</v>
      </c>
      <c r="F149" s="511">
        <f t="shared" si="35"/>
        <v>0</v>
      </c>
      <c r="G149" s="511">
        <f t="shared" si="36"/>
        <v>0</v>
      </c>
      <c r="H149" s="645">
        <f t="shared" si="33"/>
        <v>0</v>
      </c>
      <c r="I149" s="628">
        <f t="shared" si="34"/>
        <v>0</v>
      </c>
      <c r="J149" s="505">
        <f t="shared" si="37"/>
        <v>0</v>
      </c>
      <c r="K149" s="505"/>
      <c r="L149" s="513"/>
      <c r="M149" s="505">
        <f t="shared" si="38"/>
        <v>0</v>
      </c>
      <c r="N149" s="513"/>
      <c r="O149" s="505">
        <f t="shared" si="39"/>
        <v>0</v>
      </c>
      <c r="P149" s="505">
        <f t="shared" si="40"/>
        <v>0</v>
      </c>
    </row>
    <row r="150" spans="2:16" ht="12.5">
      <c r="B150" s="145" t="str">
        <f t="shared" si="23"/>
        <v/>
      </c>
      <c r="C150" s="496">
        <f>IF(D94="","-",+C149+1)</f>
        <v>2067</v>
      </c>
      <c r="D150" s="350">
        <f>IF(F149+SUM(E$100:E149)=D$93,F149,D$93-SUM(E$100:E149))</f>
        <v>0</v>
      </c>
      <c r="E150" s="510">
        <f t="shared" si="41"/>
        <v>0</v>
      </c>
      <c r="F150" s="511">
        <f t="shared" si="35"/>
        <v>0</v>
      </c>
      <c r="G150" s="511">
        <f t="shared" si="36"/>
        <v>0</v>
      </c>
      <c r="H150" s="645">
        <f t="shared" si="33"/>
        <v>0</v>
      </c>
      <c r="I150" s="628">
        <f t="shared" si="34"/>
        <v>0</v>
      </c>
      <c r="J150" s="505">
        <f t="shared" si="37"/>
        <v>0</v>
      </c>
      <c r="K150" s="505"/>
      <c r="L150" s="513"/>
      <c r="M150" s="505">
        <f t="shared" si="38"/>
        <v>0</v>
      </c>
      <c r="N150" s="513"/>
      <c r="O150" s="505">
        <f t="shared" si="39"/>
        <v>0</v>
      </c>
      <c r="P150" s="505">
        <f t="shared" si="40"/>
        <v>0</v>
      </c>
    </row>
    <row r="151" spans="2:16" ht="12.5">
      <c r="B151" s="145" t="str">
        <f t="shared" si="23"/>
        <v/>
      </c>
      <c r="C151" s="496">
        <f>IF(D94="","-",+C150+1)</f>
        <v>2068</v>
      </c>
      <c r="D151" s="350">
        <f>IF(F150+SUM(E$100:E150)=D$93,F150,D$93-SUM(E$100:E150))</f>
        <v>0</v>
      </c>
      <c r="E151" s="510">
        <f t="shared" si="41"/>
        <v>0</v>
      </c>
      <c r="F151" s="511">
        <f t="shared" si="35"/>
        <v>0</v>
      </c>
      <c r="G151" s="511">
        <f t="shared" si="36"/>
        <v>0</v>
      </c>
      <c r="H151" s="645">
        <f t="shared" si="33"/>
        <v>0</v>
      </c>
      <c r="I151" s="628">
        <f t="shared" si="34"/>
        <v>0</v>
      </c>
      <c r="J151" s="505">
        <f t="shared" si="37"/>
        <v>0</v>
      </c>
      <c r="K151" s="505"/>
      <c r="L151" s="513"/>
      <c r="M151" s="505">
        <f t="shared" si="38"/>
        <v>0</v>
      </c>
      <c r="N151" s="513"/>
      <c r="O151" s="505">
        <f t="shared" si="39"/>
        <v>0</v>
      </c>
      <c r="P151" s="505">
        <f t="shared" si="40"/>
        <v>0</v>
      </c>
    </row>
    <row r="152" spans="2:16" ht="12.5">
      <c r="B152" s="145" t="str">
        <f t="shared" si="23"/>
        <v/>
      </c>
      <c r="C152" s="496">
        <f>IF(D94="","-",+C151+1)</f>
        <v>2069</v>
      </c>
      <c r="D152" s="350">
        <f>IF(F151+SUM(E$100:E151)=D$93,F151,D$93-SUM(E$100:E151))</f>
        <v>0</v>
      </c>
      <c r="E152" s="510">
        <f t="shared" si="41"/>
        <v>0</v>
      </c>
      <c r="F152" s="511">
        <f t="shared" si="35"/>
        <v>0</v>
      </c>
      <c r="G152" s="511">
        <f t="shared" si="36"/>
        <v>0</v>
      </c>
      <c r="H152" s="645">
        <f t="shared" si="33"/>
        <v>0</v>
      </c>
      <c r="I152" s="628">
        <f t="shared" si="34"/>
        <v>0</v>
      </c>
      <c r="J152" s="505">
        <f t="shared" si="37"/>
        <v>0</v>
      </c>
      <c r="K152" s="505"/>
      <c r="L152" s="513"/>
      <c r="M152" s="505">
        <f t="shared" si="38"/>
        <v>0</v>
      </c>
      <c r="N152" s="513"/>
      <c r="O152" s="505">
        <f t="shared" si="39"/>
        <v>0</v>
      </c>
      <c r="P152" s="505">
        <f t="shared" si="40"/>
        <v>0</v>
      </c>
    </row>
    <row r="153" spans="2:16" ht="12.5">
      <c r="B153" s="145" t="str">
        <f t="shared" si="23"/>
        <v/>
      </c>
      <c r="C153" s="496">
        <f>IF(D94="","-",+C152+1)</f>
        <v>2070</v>
      </c>
      <c r="D153" s="350">
        <f>IF(F152+SUM(E$100:E152)=D$93,F152,D$93-SUM(E$100:E152))</f>
        <v>0</v>
      </c>
      <c r="E153" s="510">
        <f t="shared" si="41"/>
        <v>0</v>
      </c>
      <c r="F153" s="511">
        <f t="shared" si="35"/>
        <v>0</v>
      </c>
      <c r="G153" s="511">
        <f t="shared" si="36"/>
        <v>0</v>
      </c>
      <c r="H153" s="645">
        <f t="shared" si="33"/>
        <v>0</v>
      </c>
      <c r="I153" s="628">
        <f t="shared" si="34"/>
        <v>0</v>
      </c>
      <c r="J153" s="505">
        <f t="shared" si="37"/>
        <v>0</v>
      </c>
      <c r="K153" s="505"/>
      <c r="L153" s="513"/>
      <c r="M153" s="505">
        <f t="shared" si="38"/>
        <v>0</v>
      </c>
      <c r="N153" s="513"/>
      <c r="O153" s="505">
        <f t="shared" si="39"/>
        <v>0</v>
      </c>
      <c r="P153" s="505">
        <f t="shared" si="40"/>
        <v>0</v>
      </c>
    </row>
    <row r="154" spans="2:16" ht="12.5">
      <c r="B154" s="145" t="str">
        <f t="shared" si="23"/>
        <v/>
      </c>
      <c r="C154" s="496">
        <f>IF(D94="","-",+C153+1)</f>
        <v>2071</v>
      </c>
      <c r="D154" s="350">
        <f>IF(F153+SUM(E$100:E153)=D$93,F153,D$93-SUM(E$100:E153))</f>
        <v>0</v>
      </c>
      <c r="E154" s="510">
        <f t="shared" si="41"/>
        <v>0</v>
      </c>
      <c r="F154" s="511">
        <f t="shared" si="35"/>
        <v>0</v>
      </c>
      <c r="G154" s="511">
        <f t="shared" si="36"/>
        <v>0</v>
      </c>
      <c r="H154" s="645">
        <f t="shared" si="33"/>
        <v>0</v>
      </c>
      <c r="I154" s="628">
        <f t="shared" si="34"/>
        <v>0</v>
      </c>
      <c r="J154" s="505">
        <f t="shared" si="37"/>
        <v>0</v>
      </c>
      <c r="K154" s="505"/>
      <c r="L154" s="513"/>
      <c r="M154" s="505">
        <f t="shared" si="38"/>
        <v>0</v>
      </c>
      <c r="N154" s="513"/>
      <c r="O154" s="505">
        <f t="shared" si="39"/>
        <v>0</v>
      </c>
      <c r="P154" s="505">
        <f t="shared" si="40"/>
        <v>0</v>
      </c>
    </row>
    <row r="155" spans="2:16" ht="13" thickBot="1">
      <c r="B155" s="145" t="str">
        <f t="shared" si="23"/>
        <v/>
      </c>
      <c r="C155" s="525">
        <f>IF(D94="","-",+C154+1)</f>
        <v>2072</v>
      </c>
      <c r="D155" s="636">
        <f>IF(F154+SUM(E$100:E154)=D$93,F154,D$93-SUM(E$100:E154))</f>
        <v>0</v>
      </c>
      <c r="E155" s="527">
        <f t="shared" si="41"/>
        <v>0</v>
      </c>
      <c r="F155" s="528">
        <f t="shared" si="35"/>
        <v>0</v>
      </c>
      <c r="G155" s="528">
        <f t="shared" si="36"/>
        <v>0</v>
      </c>
      <c r="H155" s="645">
        <f t="shared" si="33"/>
        <v>0</v>
      </c>
      <c r="I155" s="624">
        <f t="shared" si="34"/>
        <v>0</v>
      </c>
      <c r="J155" s="532">
        <f t="shared" si="37"/>
        <v>0</v>
      </c>
      <c r="K155" s="505"/>
      <c r="L155" s="531"/>
      <c r="M155" s="532">
        <f t="shared" si="38"/>
        <v>0</v>
      </c>
      <c r="N155" s="531"/>
      <c r="O155" s="532">
        <f t="shared" si="39"/>
        <v>0</v>
      </c>
      <c r="P155" s="532">
        <f t="shared" si="40"/>
        <v>0</v>
      </c>
    </row>
    <row r="156" spans="2:16" ht="12.5">
      <c r="C156" s="350" t="s">
        <v>75</v>
      </c>
      <c r="D156" s="295"/>
      <c r="E156" s="295">
        <f>SUM(E100:E155)</f>
        <v>9653726.4199999999</v>
      </c>
      <c r="F156" s="295"/>
      <c r="G156" s="295"/>
      <c r="H156" s="295">
        <f>SUM(H100:H155)</f>
        <v>21646544.231317308</v>
      </c>
      <c r="I156" s="295">
        <f>SUM(I100:I155)</f>
        <v>21646544.231317308</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26" priority="2" stopIfTrue="1" operator="equal">
      <formula>$I$10</formula>
    </cfRule>
  </conditionalFormatting>
  <conditionalFormatting sqref="C100:C155">
    <cfRule type="cellIs" dxfId="25" priority="3" stopIfTrue="1" operator="equal">
      <formula>$J$93</formula>
    </cfRule>
  </conditionalFormatting>
  <conditionalFormatting sqref="C72">
    <cfRule type="cellIs" dxfId="24"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8"/>
  <dimension ref="A1:U133"/>
  <sheetViews>
    <sheetView tabSelected="1" zoomScale="80" zoomScaleNormal="80" zoomScaleSheetLayoutView="90" workbookViewId="0">
      <selection activeCell="A5" sqref="A5:J5"/>
    </sheetView>
  </sheetViews>
  <sheetFormatPr defaultColWidth="8.7265625" defaultRowHeight="12.75" customHeight="1"/>
  <cols>
    <col min="1" max="1" width="8.1796875" style="145" customWidth="1"/>
    <col min="2" max="2" width="6.7265625" style="145" customWidth="1"/>
    <col min="3" max="3" width="23.26953125" style="145" customWidth="1"/>
    <col min="4" max="8" width="17.7265625" style="145" customWidth="1"/>
    <col min="9" max="9" width="16.1796875" style="145" customWidth="1"/>
    <col min="10" max="10" width="2.1796875" style="145" customWidth="1"/>
    <col min="11" max="11" width="17.7265625" style="145" customWidth="1"/>
    <col min="12" max="12" width="16.1796875" style="145" customWidth="1"/>
    <col min="13" max="13" width="17.7265625" style="145" customWidth="1"/>
    <col min="14" max="14" width="16.7265625" style="145" customWidth="1"/>
    <col min="15" max="15" width="22.453125" style="145" customWidth="1"/>
    <col min="16" max="16" width="3.54296875" style="145" bestFit="1" customWidth="1"/>
    <col min="17" max="17" width="4.7265625" style="145" customWidth="1"/>
    <col min="18" max="18" width="15.453125" style="145" customWidth="1"/>
    <col min="19" max="19" width="81.81640625" style="145" bestFit="1" customWidth="1"/>
    <col min="20" max="22" width="8.7265625" style="145"/>
    <col min="23" max="23" width="9.1796875" style="145" customWidth="1"/>
    <col min="24" max="16384" width="8.7265625" style="145"/>
  </cols>
  <sheetData>
    <row r="1" spans="1:21" ht="17.5">
      <c r="A1" s="736" t="s">
        <v>109</v>
      </c>
      <c r="B1" s="737"/>
      <c r="C1" s="737"/>
      <c r="D1" s="737"/>
      <c r="E1" s="737"/>
      <c r="F1" s="737"/>
      <c r="G1" s="737"/>
      <c r="H1" s="737"/>
      <c r="I1" s="737"/>
      <c r="J1" s="737"/>
      <c r="U1" s="145">
        <v>2017</v>
      </c>
    </row>
    <row r="2" spans="1:21" ht="17.5">
      <c r="A2" s="739" t="str">
        <f>L19+1&amp;" Cost of Service Formula Rate Projected on "&amp;L19+1&amp;" FF1 Balances"</f>
        <v>2023 Cost of Service Formula Rate Projected on 2023 FF1 Balances</v>
      </c>
      <c r="B2" s="739"/>
      <c r="C2" s="739"/>
      <c r="D2" s="739"/>
      <c r="E2" s="739"/>
      <c r="F2" s="739"/>
      <c r="G2" s="739"/>
      <c r="H2" s="739"/>
      <c r="I2" s="739"/>
      <c r="J2" s="739"/>
    </row>
    <row r="3" spans="1:21" ht="18">
      <c r="A3" s="738" t="s">
        <v>124</v>
      </c>
      <c r="B3" s="739"/>
      <c r="C3" s="739"/>
      <c r="D3" s="739"/>
      <c r="E3" s="739"/>
      <c r="F3" s="739"/>
      <c r="G3" s="739"/>
      <c r="H3" s="739"/>
      <c r="I3" s="739"/>
      <c r="J3" s="739"/>
      <c r="Q3" s="233" t="s">
        <v>110</v>
      </c>
    </row>
    <row r="4" spans="1:21" ht="17.5">
      <c r="A4" s="739" t="str">
        <f>"Based on a Carrying Charge Derived from ""Historic"" "&amp;L19+1&amp;" Data"</f>
        <v>Based on a Carrying Charge Derived from "Historic" 2023 Data</v>
      </c>
      <c r="B4" s="739"/>
      <c r="C4" s="739"/>
      <c r="D4" s="739"/>
      <c r="E4" s="739"/>
      <c r="F4" s="739"/>
      <c r="G4" s="739"/>
      <c r="H4" s="739"/>
      <c r="I4" s="739"/>
      <c r="J4" s="739"/>
      <c r="K4" s="739"/>
    </row>
    <row r="5" spans="1:21" ht="18">
      <c r="A5" s="740" t="s">
        <v>188</v>
      </c>
      <c r="B5" s="740"/>
      <c r="C5" s="740"/>
      <c r="D5" s="740"/>
      <c r="E5" s="740"/>
      <c r="F5" s="740"/>
      <c r="G5" s="740"/>
      <c r="H5" s="740"/>
      <c r="I5" s="740"/>
      <c r="J5" s="740"/>
    </row>
    <row r="6" spans="1:21" ht="18">
      <c r="A6" s="151"/>
      <c r="B6" s="151"/>
      <c r="C6" s="151"/>
      <c r="D6" s="151"/>
      <c r="E6" s="151"/>
      <c r="F6" s="151"/>
      <c r="G6" s="151"/>
      <c r="H6" s="151"/>
      <c r="I6" s="151"/>
      <c r="J6" s="151"/>
    </row>
    <row r="7" spans="1:21" ht="12.5">
      <c r="D7" s="157"/>
      <c r="H7" s="213"/>
      <c r="J7" s="221"/>
    </row>
    <row r="8" spans="1:21" ht="33.75" customHeight="1">
      <c r="B8" s="234" t="s">
        <v>0</v>
      </c>
      <c r="C8" s="733" t="str">
        <f>"Calculate Return and Income Taxes with "&amp;F13&amp;" basis point ROE increase for Projects Qualified for Incentive."</f>
        <v>Calculate Return and Income Taxes with 0 basis point ROE increase for Projects Qualified for Incentive.</v>
      </c>
      <c r="D8" s="734"/>
      <c r="E8" s="734"/>
      <c r="F8" s="734"/>
      <c r="G8" s="734"/>
      <c r="H8" s="734"/>
      <c r="J8" s="221"/>
      <c r="R8" s="235"/>
    </row>
    <row r="9" spans="1:21" ht="12.5">
      <c r="D9" s="157"/>
      <c r="H9" s="213"/>
      <c r="J9" s="221"/>
    </row>
    <row r="10" spans="1:21" ht="15.5">
      <c r="C10" s="236" t="str">
        <f>"A.   Determine 'R' with hypothetical "&amp;F13&amp;" basis point increase in ROE for Identified Projects"</f>
        <v>A.   Determine 'R' with hypothetical 0 basis point increase in ROE for Identified Projects</v>
      </c>
      <c r="D10" s="157"/>
      <c r="H10" s="213"/>
      <c r="J10" s="221"/>
    </row>
    <row r="11" spans="1:21" ht="12.5">
      <c r="D11" s="157"/>
      <c r="H11" s="213"/>
      <c r="J11" s="221"/>
    </row>
    <row r="12" spans="1:21" ht="12.5">
      <c r="C12" s="237" t="str">
        <f>S101</f>
        <v xml:space="preserve">   ROE w/o incentives  (TCOS, ln 143)</v>
      </c>
      <c r="D12" s="157"/>
      <c r="E12" s="238"/>
      <c r="F12" s="239">
        <f>+R101</f>
        <v>0.105</v>
      </c>
      <c r="G12" s="240"/>
      <c r="H12" s="241"/>
      <c r="I12" s="242"/>
      <c r="J12" s="243"/>
      <c r="K12" s="242"/>
      <c r="L12" s="242"/>
      <c r="M12" s="242"/>
      <c r="N12" s="242"/>
      <c r="O12" s="238"/>
      <c r="P12" s="242"/>
      <c r="Q12" s="244"/>
      <c r="U12" s="245"/>
    </row>
    <row r="13" spans="1:21" ht="12.5">
      <c r="C13" s="237" t="s">
        <v>1</v>
      </c>
      <c r="D13" s="157"/>
      <c r="E13" s="238"/>
      <c r="F13" s="246">
        <f>+R102</f>
        <v>0</v>
      </c>
      <c r="G13" s="145" t="s">
        <v>133</v>
      </c>
      <c r="K13" s="242"/>
      <c r="L13" s="242"/>
      <c r="M13" s="242"/>
      <c r="N13" s="242"/>
      <c r="O13" s="238"/>
      <c r="P13" s="242"/>
      <c r="Q13" s="244"/>
      <c r="U13" s="245"/>
    </row>
    <row r="14" spans="1:21" ht="13.5" thickBot="1">
      <c r="C14" s="237" t="str">
        <f>"   ROE with additional "&amp;F13&amp;" basis point incentive"</f>
        <v xml:space="preserve">   ROE with additional 0 basis point incentive</v>
      </c>
      <c r="D14" s="238"/>
      <c r="E14" s="238"/>
      <c r="F14" s="247">
        <f>IF((F12+(F13/10000)&gt;0.1245),"ERROR",F12+(F13/10000))</f>
        <v>0.105</v>
      </c>
      <c r="G14" s="248" t="s">
        <v>2</v>
      </c>
      <c r="H14" s="242"/>
      <c r="I14" s="242"/>
      <c r="J14" s="243"/>
      <c r="K14" s="242"/>
      <c r="L14" s="242"/>
      <c r="M14" s="242"/>
      <c r="N14" s="242"/>
      <c r="O14" s="238"/>
      <c r="P14" s="242"/>
      <c r="Q14" s="244"/>
      <c r="U14" s="249"/>
    </row>
    <row r="15" spans="1:21" ht="12.5">
      <c r="C15" s="237" t="s">
        <v>3</v>
      </c>
      <c r="D15" s="157"/>
      <c r="E15" s="238"/>
      <c r="F15" s="247"/>
      <c r="G15" s="238"/>
      <c r="H15" s="242"/>
      <c r="I15" s="242"/>
      <c r="J15" s="243"/>
      <c r="K15" s="727" t="s">
        <v>4</v>
      </c>
      <c r="L15" s="728"/>
      <c r="M15" s="728"/>
      <c r="N15" s="728"/>
      <c r="O15" s="729"/>
      <c r="P15" s="242"/>
      <c r="Q15" s="244"/>
      <c r="U15" s="249"/>
    </row>
    <row r="16" spans="1:21" ht="12.5">
      <c r="C16" s="243"/>
      <c r="D16" s="250" t="s">
        <v>5</v>
      </c>
      <c r="E16" s="250" t="s">
        <v>6</v>
      </c>
      <c r="F16" s="251" t="s">
        <v>7</v>
      </c>
      <c r="G16" s="238"/>
      <c r="H16" s="242"/>
      <c r="I16" s="242"/>
      <c r="J16" s="243"/>
      <c r="K16" s="730"/>
      <c r="L16" s="731"/>
      <c r="M16" s="731"/>
      <c r="N16" s="731"/>
      <c r="O16" s="732"/>
      <c r="P16" s="242"/>
      <c r="Q16" s="244"/>
    </row>
    <row r="17" spans="3:21" ht="12.5">
      <c r="C17" s="252" t="s">
        <v>8</v>
      </c>
      <c r="D17" s="253">
        <f>+R103</f>
        <v>0.4524690885557221</v>
      </c>
      <c r="E17" s="254">
        <f>+R104</f>
        <v>4.0682834836160274E-2</v>
      </c>
      <c r="F17" s="255">
        <f>E17*D17</f>
        <v>1.840772519818042E-2</v>
      </c>
      <c r="G17" s="238"/>
      <c r="H17" s="242"/>
      <c r="I17" s="256"/>
      <c r="J17" s="257"/>
      <c r="K17" s="258"/>
      <c r="L17" s="259"/>
      <c r="M17" s="243" t="s">
        <v>9</v>
      </c>
      <c r="N17" s="243" t="s">
        <v>10</v>
      </c>
      <c r="O17" s="260" t="s">
        <v>11</v>
      </c>
      <c r="P17" s="242"/>
      <c r="Q17" s="244"/>
      <c r="U17" s="242"/>
    </row>
    <row r="18" spans="3:21" ht="12.5">
      <c r="C18" s="252" t="s">
        <v>12</v>
      </c>
      <c r="D18" s="253">
        <f>+R105</f>
        <v>0</v>
      </c>
      <c r="E18" s="254">
        <f>+R106</f>
        <v>0</v>
      </c>
      <c r="F18" s="255">
        <f>E18*D18</f>
        <v>0</v>
      </c>
      <c r="G18" s="261"/>
      <c r="H18" s="261"/>
      <c r="I18" s="262"/>
      <c r="J18" s="263"/>
      <c r="K18" s="264"/>
      <c r="L18" s="221"/>
      <c r="M18" s="221"/>
      <c r="N18" s="221"/>
      <c r="O18" s="265"/>
      <c r="P18" s="261"/>
      <c r="Q18" s="244"/>
      <c r="U18" s="249"/>
    </row>
    <row r="19" spans="3:21" ht="13" thickBot="1">
      <c r="C19" s="266" t="s">
        <v>13</v>
      </c>
      <c r="D19" s="253">
        <f>+R107</f>
        <v>0.5475309114442779</v>
      </c>
      <c r="E19" s="254">
        <f>+F14</f>
        <v>0.105</v>
      </c>
      <c r="F19" s="267">
        <f>E19*D19</f>
        <v>5.7490745701649179E-2</v>
      </c>
      <c r="G19" s="261"/>
      <c r="H19" s="261"/>
      <c r="I19" s="247"/>
      <c r="J19" s="263"/>
      <c r="K19" s="268" t="s">
        <v>14</v>
      </c>
      <c r="L19" s="269">
        <v>2022</v>
      </c>
      <c r="M19" s="270">
        <f>SUM('OKT.001:OKT.xyz - blank'!N5)</f>
        <v>39914352.489146076</v>
      </c>
      <c r="N19" s="270">
        <f>SUM('OKT.001:OKT.xyz - blank'!N6)</f>
        <v>39914352.489146076</v>
      </c>
      <c r="O19" s="271">
        <f>+N19-M19</f>
        <v>0</v>
      </c>
      <c r="P19" s="262"/>
      <c r="Q19" s="244"/>
      <c r="U19" s="249"/>
    </row>
    <row r="20" spans="3:21" ht="12.5">
      <c r="C20" s="237"/>
      <c r="D20" s="238"/>
      <c r="E20" s="272" t="s">
        <v>15</v>
      </c>
      <c r="F20" s="255">
        <f>SUM(F17:F19)</f>
        <v>7.5898470899829595E-2</v>
      </c>
      <c r="G20" s="261"/>
      <c r="H20" s="261"/>
      <c r="I20" s="262"/>
      <c r="J20" s="263"/>
      <c r="M20" s="273" t="str">
        <f>IF(M19=SUM('OKT.001:OKT.xyz - blank'!N5),"","ERROR")</f>
        <v/>
      </c>
      <c r="N20" s="273" t="str">
        <f>IF(N19=SUM('OKT.001:OKT.xyz - blank'!N6),"","ERROR")</f>
        <v/>
      </c>
      <c r="O20" s="273" t="str">
        <f>IF(O19=SUM('OKT.001:OKT.xyz - blank'!N7),"","ERROR")</f>
        <v/>
      </c>
      <c r="P20" s="261"/>
      <c r="Q20" s="244"/>
      <c r="U20" s="249"/>
    </row>
    <row r="21" spans="3:21" ht="13">
      <c r="D21" s="274"/>
      <c r="E21" s="274"/>
      <c r="F21" s="261"/>
      <c r="G21" s="261"/>
      <c r="H21" s="261"/>
      <c r="I21" s="261"/>
      <c r="J21" s="275"/>
      <c r="K21" s="175" t="s">
        <v>16</v>
      </c>
      <c r="P21" s="261"/>
      <c r="Q21" s="244"/>
      <c r="U21" s="249"/>
    </row>
    <row r="22" spans="3:21" ht="15.5">
      <c r="C22" s="236" t="str">
        <f>"B.   Determine Return using 'R' with hypothetical "&amp;F13&amp;" basis point ROE increase for Identified Projects."</f>
        <v>B.   Determine Return using 'R' with hypothetical 0 basis point ROE increase for Identified Projects.</v>
      </c>
      <c r="D22" s="274"/>
      <c r="E22" s="274"/>
      <c r="F22" s="276"/>
      <c r="G22" s="261"/>
      <c r="H22" s="238"/>
      <c r="I22" s="261"/>
      <c r="J22" s="275"/>
      <c r="K22" s="145" t="s">
        <v>17</v>
      </c>
      <c r="P22" s="261"/>
      <c r="Q22" s="244"/>
      <c r="U22" s="249"/>
    </row>
    <row r="23" spans="3:21" ht="12.5">
      <c r="C23" s="243"/>
      <c r="D23" s="274"/>
      <c r="E23" s="274"/>
      <c r="F23" s="275"/>
      <c r="G23" s="275"/>
      <c r="H23" s="275"/>
      <c r="I23" s="275"/>
      <c r="J23" s="275"/>
      <c r="K23" s="262"/>
      <c r="L23" s="277"/>
      <c r="M23" s="278"/>
      <c r="N23" s="262"/>
      <c r="O23" s="261"/>
      <c r="P23" s="275"/>
      <c r="Q23" s="279"/>
      <c r="U23" s="249"/>
    </row>
    <row r="24" spans="3:21" ht="12.5">
      <c r="C24" s="237" t="str">
        <f>+S108</f>
        <v xml:space="preserve">   Rate Base  (TCOS, ln 63)</v>
      </c>
      <c r="D24" s="238"/>
      <c r="E24" s="280">
        <f>+R108</f>
        <v>1097562635.6731257</v>
      </c>
      <c r="F24" s="281"/>
      <c r="G24" s="275"/>
      <c r="H24" s="275"/>
      <c r="I24" s="275"/>
      <c r="J24" s="275"/>
      <c r="K24" s="275"/>
      <c r="L24" s="275"/>
      <c r="M24" s="275"/>
      <c r="N24" s="275"/>
      <c r="O24" s="275"/>
      <c r="P24" s="281"/>
      <c r="Q24" s="279"/>
      <c r="U24" s="249"/>
    </row>
    <row r="25" spans="3:21" ht="12.5">
      <c r="C25" s="243" t="s">
        <v>18</v>
      </c>
      <c r="D25" s="240"/>
      <c r="E25" s="282">
        <f>F20</f>
        <v>7.5898470899829595E-2</v>
      </c>
      <c r="F25" s="275"/>
      <c r="G25" s="275"/>
      <c r="H25" s="275"/>
      <c r="I25" s="275"/>
      <c r="J25" s="275"/>
      <c r="K25" s="275"/>
      <c r="L25" s="275"/>
      <c r="M25" s="283"/>
      <c r="N25" s="275"/>
      <c r="O25" s="275"/>
      <c r="P25" s="275"/>
      <c r="Q25" s="279"/>
      <c r="U25" s="249"/>
    </row>
    <row r="26" spans="3:21" ht="12.5">
      <c r="C26" s="284" t="s">
        <v>19</v>
      </c>
      <c r="D26" s="284"/>
      <c r="E26" s="262">
        <f>E24*E25</f>
        <v>83303325.764377013</v>
      </c>
      <c r="F26" s="275"/>
      <c r="G26" s="275"/>
      <c r="H26" s="275"/>
      <c r="I26" s="263"/>
      <c r="J26" s="263"/>
      <c r="K26" s="263"/>
      <c r="L26" s="263"/>
      <c r="M26" s="263"/>
      <c r="N26" s="263"/>
      <c r="O26" s="275"/>
      <c r="P26" s="275"/>
      <c r="Q26" s="279"/>
      <c r="U26" s="249"/>
    </row>
    <row r="27" spans="3:21" ht="12.5">
      <c r="C27" s="285"/>
      <c r="D27" s="242"/>
      <c r="E27" s="242"/>
      <c r="F27" s="275"/>
      <c r="G27" s="275"/>
      <c r="H27" s="275"/>
      <c r="I27" s="263"/>
      <c r="J27" s="263"/>
      <c r="K27" s="263"/>
      <c r="L27" s="263"/>
      <c r="M27" s="263"/>
      <c r="N27" s="263"/>
      <c r="O27" s="275"/>
      <c r="P27" s="275"/>
      <c r="Q27" s="279"/>
      <c r="U27" s="249"/>
    </row>
    <row r="28" spans="3:21" ht="15.5">
      <c r="C28" s="236" t="str">
        <f>"C.   Determine Income Taxes using Return with hypothetical "&amp;F13&amp;" basis point ROE increase for Identified Projects."</f>
        <v>C.   Determine Income Taxes using Return with hypothetical 0 basis point ROE increase for Identified Projects.</v>
      </c>
      <c r="D28" s="286"/>
      <c r="E28" s="286"/>
      <c r="F28" s="287"/>
      <c r="G28" s="287"/>
      <c r="H28" s="287"/>
      <c r="I28" s="288"/>
      <c r="J28" s="288"/>
      <c r="K28" s="288"/>
      <c r="L28" s="288"/>
      <c r="M28" s="288"/>
      <c r="N28" s="288"/>
      <c r="O28" s="287"/>
      <c r="P28" s="287"/>
      <c r="Q28" s="279"/>
      <c r="U28" s="249"/>
    </row>
    <row r="29" spans="3:21" ht="13">
      <c r="C29" s="237"/>
      <c r="D29" s="242"/>
      <c r="E29" s="242"/>
      <c r="F29" s="275"/>
      <c r="G29" s="275"/>
      <c r="H29" s="275"/>
      <c r="I29" s="263"/>
      <c r="J29" s="263"/>
      <c r="K29" s="263"/>
      <c r="L29" s="263"/>
      <c r="M29" s="263"/>
      <c r="N29" s="263"/>
      <c r="O29" s="275"/>
      <c r="P29" s="275"/>
      <c r="Q29" s="279"/>
      <c r="U29" s="289"/>
    </row>
    <row r="30" spans="3:21" ht="12.5">
      <c r="C30" s="243" t="s">
        <v>20</v>
      </c>
      <c r="D30" s="290"/>
      <c r="E30" s="291">
        <f>E26</f>
        <v>83303325.764377013</v>
      </c>
      <c r="F30" s="275"/>
      <c r="G30" s="275"/>
      <c r="H30" s="275"/>
      <c r="I30" s="275"/>
      <c r="J30" s="275"/>
      <c r="K30" s="275"/>
      <c r="L30" s="275"/>
      <c r="M30" s="275"/>
      <c r="N30" s="275"/>
      <c r="O30" s="275"/>
      <c r="P30" s="275"/>
      <c r="Q30" s="279"/>
      <c r="U30" s="249"/>
    </row>
    <row r="31" spans="3:21" ht="12.5">
      <c r="C31" s="237" t="str">
        <f>+S109</f>
        <v xml:space="preserve">   Tax Rate  (TCOS, ln 99)</v>
      </c>
      <c r="D31" s="290"/>
      <c r="E31" s="292">
        <f>+R109</f>
        <v>0.24160000000000004</v>
      </c>
      <c r="F31" s="275"/>
      <c r="G31" s="275"/>
      <c r="H31" s="275"/>
      <c r="I31" s="275"/>
      <c r="J31" s="275"/>
      <c r="K31" s="275"/>
      <c r="L31" s="275"/>
      <c r="M31" s="275"/>
      <c r="N31" s="275"/>
      <c r="O31" s="275"/>
      <c r="P31" s="275"/>
      <c r="Q31" s="279"/>
      <c r="R31" s="221"/>
      <c r="S31" s="221"/>
      <c r="T31" s="221"/>
      <c r="U31" s="249"/>
    </row>
    <row r="32" spans="3:21" ht="12.5">
      <c r="C32" s="243" t="s">
        <v>21</v>
      </c>
      <c r="D32" s="293"/>
      <c r="E32" s="247">
        <f>IF(F17&gt;0,($E31/(1-$E31))*(1-$F17/$F20),0)</f>
        <v>0.24130344435306231</v>
      </c>
      <c r="F32" s="279"/>
      <c r="G32" s="294"/>
      <c r="H32" s="295"/>
      <c r="I32" s="279"/>
      <c r="J32" s="279"/>
      <c r="K32" s="279"/>
      <c r="L32" s="279"/>
      <c r="M32" s="279"/>
      <c r="N32" s="279"/>
      <c r="O32" s="279"/>
      <c r="P32" s="279"/>
      <c r="Q32" s="279"/>
      <c r="R32" s="221"/>
      <c r="S32" s="221"/>
      <c r="T32" s="221"/>
      <c r="U32" s="249"/>
    </row>
    <row r="33" spans="2:21" ht="12.5">
      <c r="C33" s="296" t="s">
        <v>22</v>
      </c>
      <c r="D33" s="297"/>
      <c r="E33" s="298">
        <f>E30*E32</f>
        <v>20101379.433009371</v>
      </c>
      <c r="F33" s="299"/>
      <c r="G33" s="279"/>
      <c r="H33" s="295"/>
      <c r="I33" s="279"/>
      <c r="J33" s="279"/>
      <c r="K33" s="279"/>
      <c r="L33" s="279"/>
      <c r="M33" s="279"/>
      <c r="N33" s="279"/>
      <c r="O33" s="279"/>
      <c r="P33" s="279"/>
      <c r="Q33" s="279"/>
      <c r="R33" s="221"/>
      <c r="S33" s="221"/>
      <c r="T33" s="221"/>
      <c r="U33" s="300"/>
    </row>
    <row r="34" spans="2:21" ht="15.5">
      <c r="C34" s="237" t="str">
        <f>+S110</f>
        <v xml:space="preserve">   ITC Adjustment  (TCOS, ln 108)</v>
      </c>
      <c r="D34" s="301"/>
      <c r="E34" s="302">
        <f>+R110</f>
        <v>0</v>
      </c>
      <c r="F34" s="301"/>
      <c r="G34" s="301"/>
      <c r="H34" s="301"/>
      <c r="I34" s="301"/>
      <c r="J34" s="301"/>
      <c r="K34" s="301"/>
      <c r="L34" s="301"/>
      <c r="M34" s="301"/>
      <c r="N34" s="301"/>
      <c r="O34" s="301"/>
      <c r="P34" s="303"/>
      <c r="Q34" s="301"/>
      <c r="R34" s="221"/>
      <c r="S34" s="221"/>
      <c r="T34" s="221"/>
      <c r="U34" s="289"/>
    </row>
    <row r="35" spans="2:21" ht="15.5">
      <c r="C35" s="285" t="s">
        <v>23</v>
      </c>
      <c r="D35" s="301"/>
      <c r="E35" s="302">
        <f>E33+E34</f>
        <v>20101379.433009371</v>
      </c>
      <c r="F35" s="301"/>
      <c r="G35" s="301"/>
      <c r="H35" s="301"/>
      <c r="I35" s="301"/>
      <c r="J35" s="301"/>
      <c r="K35" s="301"/>
      <c r="L35" s="301"/>
      <c r="M35" s="301"/>
      <c r="N35" s="301"/>
      <c r="O35" s="301"/>
      <c r="P35" s="304"/>
      <c r="Q35" s="301"/>
      <c r="U35" s="244"/>
    </row>
    <row r="36" spans="2:21" ht="12.75" customHeight="1">
      <c r="C36" s="305"/>
      <c r="D36" s="301"/>
      <c r="E36" s="301"/>
      <c r="F36" s="301"/>
      <c r="G36" s="301"/>
      <c r="H36" s="301"/>
      <c r="I36" s="301"/>
      <c r="J36" s="301"/>
      <c r="K36" s="301"/>
      <c r="L36" s="301"/>
      <c r="M36" s="301"/>
      <c r="N36" s="301"/>
      <c r="O36" s="301"/>
      <c r="P36" s="304"/>
      <c r="Q36" s="301"/>
      <c r="R36" s="244"/>
      <c r="S36" s="244"/>
      <c r="T36" s="244"/>
      <c r="U36" s="244"/>
    </row>
    <row r="37" spans="2:21" ht="18">
      <c r="B37" s="234" t="s">
        <v>24</v>
      </c>
      <c r="C37" s="306" t="str">
        <f>"Calculate Net Plant Carrying Charge Rate (Fixed Charge Rate or FCR) with hypothetical "&amp;F13&amp;" basis point"</f>
        <v>Calculate Net Plant Carrying Charge Rate (Fixed Charge Rate or FCR) with hypothetical 0 basis point</v>
      </c>
      <c r="D37" s="301"/>
      <c r="E37" s="301"/>
      <c r="F37" s="301"/>
      <c r="G37" s="301"/>
      <c r="H37" s="301"/>
      <c r="I37" s="301"/>
      <c r="J37" s="301"/>
      <c r="K37" s="301"/>
      <c r="L37" s="301"/>
      <c r="M37" s="301"/>
      <c r="N37" s="301"/>
      <c r="O37" s="301"/>
      <c r="P37" s="304"/>
      <c r="Q37" s="301"/>
      <c r="R37" s="244"/>
      <c r="S37" s="244"/>
      <c r="T37" s="244"/>
      <c r="U37" s="244"/>
    </row>
    <row r="38" spans="2:21" ht="15.75" customHeight="1">
      <c r="B38" s="234"/>
      <c r="C38" s="306" t="str">
        <f>"ROE increase."</f>
        <v>ROE increase.</v>
      </c>
      <c r="D38" s="301"/>
      <c r="E38" s="301"/>
      <c r="F38" s="301"/>
      <c r="G38" s="301"/>
      <c r="H38" s="301"/>
      <c r="I38" s="301"/>
      <c r="J38" s="301"/>
      <c r="K38" s="301"/>
      <c r="L38" s="301"/>
      <c r="M38" s="301"/>
      <c r="N38" s="301"/>
      <c r="O38" s="301"/>
      <c r="P38" s="304"/>
      <c r="Q38" s="301"/>
      <c r="R38" s="244"/>
      <c r="S38" s="244"/>
      <c r="T38" s="244"/>
      <c r="U38" s="244"/>
    </row>
    <row r="39" spans="2:21" ht="12.75" customHeight="1">
      <c r="C39" s="305"/>
      <c r="D39" s="301"/>
      <c r="E39" s="301"/>
      <c r="F39" s="301"/>
      <c r="G39" s="301"/>
      <c r="H39" s="301"/>
      <c r="I39" s="301"/>
      <c r="J39" s="301"/>
      <c r="K39" s="301"/>
      <c r="L39" s="301"/>
      <c r="M39" s="301"/>
      <c r="N39" s="301"/>
      <c r="O39" s="301"/>
      <c r="P39" s="304"/>
      <c r="Q39" s="301"/>
      <c r="R39" s="244"/>
      <c r="S39" s="244"/>
      <c r="T39" s="244"/>
      <c r="U39" s="244"/>
    </row>
    <row r="40" spans="2:21" ht="15.5">
      <c r="B40" s="244"/>
      <c r="C40" s="307" t="s">
        <v>240</v>
      </c>
      <c r="D40" s="308"/>
      <c r="E40" s="308"/>
      <c r="F40" s="308"/>
      <c r="G40" s="308"/>
      <c r="H40" s="308"/>
      <c r="I40" s="308"/>
      <c r="J40" s="308"/>
      <c r="K40" s="308"/>
      <c r="L40" s="308"/>
      <c r="M40" s="308"/>
      <c r="N40" s="308"/>
      <c r="O40" s="308"/>
      <c r="P40" s="302"/>
      <c r="Q40" s="308"/>
      <c r="R40" s="244"/>
      <c r="S40" s="244"/>
      <c r="T40" s="244"/>
      <c r="U40" s="244"/>
    </row>
    <row r="41" spans="2:21" ht="15.5">
      <c r="B41" s="244"/>
      <c r="C41" s="307"/>
      <c r="D41" s="308"/>
      <c r="E41" s="308"/>
      <c r="F41" s="308"/>
      <c r="G41" s="308"/>
      <c r="H41" s="308"/>
      <c r="I41" s="308"/>
      <c r="J41" s="308"/>
      <c r="K41" s="308"/>
      <c r="L41" s="308"/>
      <c r="M41" s="308"/>
      <c r="N41" s="308"/>
      <c r="O41" s="308"/>
      <c r="P41" s="302"/>
      <c r="Q41" s="308"/>
      <c r="R41" s="244"/>
      <c r="S41" s="244"/>
      <c r="T41" s="244"/>
      <c r="U41" s="244"/>
    </row>
    <row r="42" spans="2:21" ht="12.75" customHeight="1">
      <c r="B42" s="244"/>
      <c r="C42" s="237" t="str">
        <f>+S113</f>
        <v xml:space="preserve">   Net Revenue Requirement  (TCOS, ln 117)</v>
      </c>
      <c r="D42" s="308"/>
      <c r="E42" s="308"/>
      <c r="F42" s="302">
        <f>+R113</f>
        <v>184155821.47548768</v>
      </c>
      <c r="G42" s="308"/>
      <c r="H42" s="308"/>
      <c r="I42" s="308"/>
      <c r="J42" s="308"/>
      <c r="K42" s="308"/>
      <c r="L42" s="308"/>
      <c r="M42" s="308"/>
      <c r="N42" s="308"/>
      <c r="O42" s="308"/>
      <c r="P42" s="302"/>
      <c r="Q42" s="308"/>
      <c r="R42" s="244"/>
      <c r="S42" s="244"/>
      <c r="T42" s="244"/>
      <c r="U42" s="244"/>
    </row>
    <row r="43" spans="2:21" ht="12.5">
      <c r="B43" s="244"/>
      <c r="C43" s="237" t="str">
        <f>+S114</f>
        <v xml:space="preserve">   Return  (TCOS, ln 112)</v>
      </c>
      <c r="D43" s="308"/>
      <c r="E43" s="308"/>
      <c r="F43" s="309">
        <f>+R114</f>
        <v>83303325.764377013</v>
      </c>
      <c r="G43" s="310"/>
      <c r="H43" s="310"/>
      <c r="I43" s="310"/>
      <c r="J43" s="310"/>
      <c r="K43" s="310"/>
      <c r="L43" s="310"/>
      <c r="M43" s="310"/>
      <c r="N43" s="310"/>
      <c r="O43" s="310"/>
      <c r="P43" s="302"/>
      <c r="Q43" s="308"/>
      <c r="R43" s="244"/>
      <c r="S43" s="244"/>
      <c r="T43" s="244"/>
      <c r="U43" s="244"/>
    </row>
    <row r="44" spans="2:21" ht="12.5">
      <c r="B44" s="244"/>
      <c r="C44" s="237" t="str">
        <f>+S115</f>
        <v xml:space="preserve">   Income Taxes  (TCOS, ln 111)</v>
      </c>
      <c r="D44" s="308"/>
      <c r="E44" s="308"/>
      <c r="F44" s="302">
        <f>+R115</f>
        <v>21662586.831814442</v>
      </c>
      <c r="G44" s="308"/>
      <c r="H44" s="308"/>
      <c r="I44" s="311"/>
      <c r="J44" s="311"/>
      <c r="K44" s="311"/>
      <c r="L44" s="311"/>
      <c r="M44" s="311"/>
      <c r="N44" s="311"/>
      <c r="O44" s="308"/>
      <c r="P44" s="308"/>
      <c r="Q44" s="308"/>
      <c r="R44" s="244"/>
      <c r="S44" s="244"/>
      <c r="T44" s="244"/>
      <c r="U44" s="244"/>
    </row>
    <row r="45" spans="2:21" ht="12.5">
      <c r="B45" s="244"/>
      <c r="C45" s="312" t="str">
        <f>+S116</f>
        <v xml:space="preserve">  Gross Margin Taxes  (TCOS, ln 116)</v>
      </c>
      <c r="D45" s="308"/>
      <c r="E45" s="308"/>
      <c r="F45" s="313">
        <f>+R116</f>
        <v>0</v>
      </c>
      <c r="G45" s="308"/>
      <c r="H45" s="308"/>
      <c r="I45" s="311"/>
      <c r="J45" s="311"/>
      <c r="K45" s="311"/>
      <c r="L45" s="311"/>
      <c r="M45" s="311"/>
      <c r="N45" s="311"/>
      <c r="O45" s="308"/>
      <c r="P45" s="308"/>
      <c r="Q45" s="308"/>
      <c r="R45" s="244"/>
      <c r="S45" s="244"/>
      <c r="T45" s="244"/>
      <c r="U45" s="244"/>
    </row>
    <row r="46" spans="2:21" ht="12.5">
      <c r="B46" s="244"/>
      <c r="C46" s="249" t="s">
        <v>25</v>
      </c>
      <c r="D46" s="308"/>
      <c r="E46" s="308"/>
      <c r="F46" s="309">
        <f>F42-F43-F44-F45</f>
        <v>79189908.879296228</v>
      </c>
      <c r="G46" s="314"/>
      <c r="H46" s="308"/>
      <c r="I46" s="314"/>
      <c r="J46" s="314"/>
      <c r="K46" s="314"/>
      <c r="L46" s="314"/>
      <c r="M46" s="314"/>
      <c r="N46" s="314"/>
      <c r="O46" s="308"/>
      <c r="P46" s="314"/>
      <c r="Q46" s="308"/>
      <c r="R46" s="244"/>
      <c r="S46" s="244"/>
      <c r="T46" s="244"/>
      <c r="U46" s="244"/>
    </row>
    <row r="47" spans="2:21" ht="12.5">
      <c r="B47" s="244"/>
      <c r="C47" s="312"/>
      <c r="D47" s="308"/>
      <c r="E47" s="308"/>
      <c r="F47" s="302"/>
      <c r="G47" s="315"/>
      <c r="H47" s="316"/>
      <c r="I47" s="316"/>
      <c r="J47" s="316"/>
      <c r="K47" s="316"/>
      <c r="L47" s="316"/>
      <c r="M47" s="316"/>
      <c r="N47" s="316"/>
      <c r="O47" s="317"/>
      <c r="P47" s="316"/>
      <c r="Q47" s="318"/>
      <c r="R47" s="244"/>
      <c r="S47" s="244"/>
      <c r="T47" s="244"/>
      <c r="U47" s="244"/>
    </row>
    <row r="48" spans="2:21" ht="15.5">
      <c r="B48" s="244"/>
      <c r="C48" s="236" t="str">
        <f>"B.   Determine Net Revenue Requirement with hypothetical "&amp;F13&amp;" basis point increase in ROE."</f>
        <v>B.   Determine Net Revenue Requirement with hypothetical 0 basis point increase in ROE.</v>
      </c>
      <c r="D48" s="317"/>
      <c r="E48" s="317"/>
      <c r="F48" s="302"/>
      <c r="G48" s="315"/>
      <c r="H48" s="316"/>
      <c r="I48" s="316"/>
      <c r="J48" s="316"/>
      <c r="K48" s="316"/>
      <c r="L48" s="316"/>
      <c r="M48" s="316"/>
      <c r="N48" s="316"/>
      <c r="O48" s="317"/>
      <c r="P48" s="316"/>
      <c r="Q48" s="308"/>
      <c r="T48" s="244"/>
      <c r="U48" s="244"/>
    </row>
    <row r="49" spans="2:21" ht="15.5">
      <c r="B49" s="244"/>
      <c r="C49" s="236"/>
      <c r="D49" s="317"/>
      <c r="E49" s="317"/>
      <c r="F49" s="302"/>
      <c r="G49" s="315"/>
      <c r="H49" s="316"/>
      <c r="I49" s="316"/>
      <c r="J49" s="316"/>
      <c r="K49" s="316"/>
      <c r="L49" s="316"/>
      <c r="M49" s="316"/>
      <c r="N49" s="316"/>
      <c r="O49" s="317"/>
      <c r="P49" s="316"/>
      <c r="Q49" s="308"/>
      <c r="T49" s="244"/>
      <c r="U49" s="244"/>
    </row>
    <row r="50" spans="2:21" ht="13">
      <c r="B50" s="244"/>
      <c r="C50" s="312" t="str">
        <f>C46</f>
        <v xml:space="preserve">   Net Revenue Requirement, Less Return and Taxes</v>
      </c>
      <c r="D50" s="317"/>
      <c r="E50" s="317"/>
      <c r="F50" s="302">
        <f>F46</f>
        <v>79189908.879296228</v>
      </c>
      <c r="G50" s="308"/>
      <c r="H50" s="308"/>
      <c r="I50" s="308"/>
      <c r="J50" s="308"/>
      <c r="K50" s="308"/>
      <c r="L50" s="308"/>
      <c r="M50" s="308"/>
      <c r="N50" s="308"/>
      <c r="O50" s="319"/>
      <c r="P50" s="320"/>
      <c r="Q50" s="321"/>
      <c r="T50" s="244"/>
      <c r="U50" s="244"/>
    </row>
    <row r="51" spans="2:21" ht="13">
      <c r="B51" s="244"/>
      <c r="C51" s="243" t="s">
        <v>92</v>
      </c>
      <c r="D51" s="322"/>
      <c r="E51" s="249"/>
      <c r="F51" s="323">
        <f>E26</f>
        <v>83303325.764377013</v>
      </c>
      <c r="G51" s="249"/>
      <c r="H51" s="324"/>
      <c r="I51" s="249"/>
      <c r="J51" s="249"/>
      <c r="K51" s="249"/>
      <c r="L51" s="249"/>
      <c r="M51" s="249"/>
      <c r="N51" s="249"/>
      <c r="O51" s="249"/>
      <c r="P51" s="249"/>
      <c r="Q51" s="249"/>
      <c r="T51" s="244"/>
      <c r="U51" s="244"/>
    </row>
    <row r="52" spans="2:21" ht="12.75" customHeight="1">
      <c r="B52" s="244"/>
      <c r="C52" s="237" t="s">
        <v>26</v>
      </c>
      <c r="D52" s="308"/>
      <c r="E52" s="308"/>
      <c r="F52" s="325">
        <f>E35</f>
        <v>20101379.433009371</v>
      </c>
      <c r="G52" s="244"/>
      <c r="H52" s="326"/>
      <c r="I52" s="244"/>
      <c r="J52" s="279"/>
      <c r="K52" s="244"/>
      <c r="L52" s="244"/>
      <c r="M52" s="244"/>
      <c r="N52" s="244"/>
      <c r="O52" s="244"/>
      <c r="P52" s="244"/>
      <c r="Q52" s="244"/>
      <c r="T52" s="244"/>
      <c r="U52" s="244"/>
    </row>
    <row r="53" spans="2:21" ht="12.5">
      <c r="B53" s="244"/>
      <c r="C53" s="249" t="str">
        <f>"   Net Revenue Requirement, with "&amp;F13&amp;" Basis Point ROE increase"</f>
        <v xml:space="preserve">   Net Revenue Requirement, with 0 Basis Point ROE increase</v>
      </c>
      <c r="D53" s="293"/>
      <c r="E53" s="244"/>
      <c r="F53" s="327">
        <f>SUM(F50:F52)</f>
        <v>182594614.07668263</v>
      </c>
      <c r="G53" s="244"/>
      <c r="H53" s="326"/>
      <c r="I53" s="244"/>
      <c r="J53" s="279"/>
      <c r="K53" s="244"/>
      <c r="L53" s="244"/>
      <c r="M53" s="244"/>
      <c r="N53" s="244"/>
      <c r="O53" s="244"/>
      <c r="P53" s="244"/>
      <c r="Q53" s="244"/>
      <c r="R53" s="244"/>
      <c r="S53" s="244"/>
      <c r="T53" s="244"/>
      <c r="U53" s="244"/>
    </row>
    <row r="54" spans="2:21" ht="12.5">
      <c r="B54" s="244"/>
      <c r="C54" s="300" t="str">
        <f>"   Gross Margin Tax with "&amp;F13&amp;" Basis Point ROE Increase (II C. below)"</f>
        <v xml:space="preserve">   Gross Margin Tax with 0 Basis Point ROE Increase (II C. below)</v>
      </c>
      <c r="D54" s="328"/>
      <c r="E54" s="328"/>
      <c r="F54" s="329">
        <f>+F69</f>
        <v>0</v>
      </c>
      <c r="G54" s="244"/>
      <c r="H54" s="326"/>
      <c r="I54" s="244"/>
      <c r="J54" s="279"/>
      <c r="K54" s="244"/>
      <c r="L54" s="244"/>
      <c r="M54" s="244"/>
      <c r="N54" s="244"/>
      <c r="O54" s="244"/>
      <c r="P54" s="244"/>
      <c r="Q54" s="244"/>
      <c r="R54" s="244"/>
      <c r="S54" s="244"/>
      <c r="T54" s="244"/>
      <c r="U54" s="244"/>
    </row>
    <row r="55" spans="2:21" ht="12.5">
      <c r="B55" s="244"/>
      <c r="C55" s="249" t="s">
        <v>27</v>
      </c>
      <c r="D55" s="293"/>
      <c r="E55" s="244"/>
      <c r="F55" s="299">
        <f>+F53+F54</f>
        <v>182594614.07668263</v>
      </c>
      <c r="G55" s="244"/>
      <c r="H55" s="326"/>
      <c r="I55" s="244"/>
      <c r="J55" s="279"/>
      <c r="K55" s="244"/>
      <c r="L55" s="244"/>
      <c r="M55" s="244"/>
      <c r="N55" s="244"/>
      <c r="O55" s="244"/>
      <c r="P55" s="244"/>
      <c r="Q55" s="244"/>
      <c r="R55" s="244"/>
      <c r="S55" s="244"/>
      <c r="T55" s="244"/>
      <c r="U55" s="244"/>
    </row>
    <row r="56" spans="2:21" ht="12.5">
      <c r="B56" s="244"/>
      <c r="C56" s="237" t="str">
        <f>+S117</f>
        <v xml:space="preserve">   Less: Depreciation  (TCOS, ln 86)</v>
      </c>
      <c r="D56" s="293"/>
      <c r="E56" s="244"/>
      <c r="F56" s="330">
        <f>+R117</f>
        <v>42943214.808296099</v>
      </c>
      <c r="G56" s="244"/>
      <c r="H56" s="326"/>
      <c r="I56" s="244"/>
      <c r="J56" s="279"/>
      <c r="K56" s="244"/>
      <c r="L56" s="244"/>
      <c r="M56" s="244"/>
      <c r="N56" s="244"/>
      <c r="O56" s="244"/>
      <c r="P56" s="244"/>
      <c r="Q56" s="244"/>
      <c r="R56" s="244"/>
      <c r="S56" s="244"/>
      <c r="T56" s="244"/>
      <c r="U56" s="244"/>
    </row>
    <row r="57" spans="2:21" ht="12.5">
      <c r="B57" s="244"/>
      <c r="C57" s="249" t="str">
        <f>"   Net Rev. Req, w/"&amp;F13&amp;" Basis Point ROE increase, less Depreciation"</f>
        <v xml:space="preserve">   Net Rev. Req, w/0 Basis Point ROE increase, less Depreciation</v>
      </c>
      <c r="D57" s="293"/>
      <c r="E57" s="244"/>
      <c r="F57" s="327">
        <f>F55-F56</f>
        <v>139651399.26838654</v>
      </c>
      <c r="G57" s="244"/>
      <c r="H57" s="326"/>
      <c r="I57" s="244"/>
      <c r="J57" s="279"/>
      <c r="K57" s="244"/>
      <c r="L57" s="244"/>
      <c r="M57" s="244"/>
      <c r="N57" s="244"/>
      <c r="O57" s="244"/>
      <c r="P57" s="244"/>
      <c r="Q57" s="244"/>
      <c r="R57" s="244"/>
      <c r="S57" s="244"/>
      <c r="T57" s="244"/>
      <c r="U57" s="244"/>
    </row>
    <row r="58" spans="2:21" ht="12.5">
      <c r="B58" s="244"/>
      <c r="C58" s="244"/>
      <c r="D58" s="293"/>
      <c r="E58" s="244"/>
      <c r="F58" s="244"/>
      <c r="G58" s="244"/>
      <c r="H58" s="326"/>
      <c r="I58" s="244"/>
      <c r="J58" s="279"/>
      <c r="K58" s="244"/>
      <c r="L58" s="244"/>
      <c r="M58" s="244"/>
      <c r="N58" s="244"/>
      <c r="O58" s="244"/>
      <c r="P58" s="244"/>
      <c r="Q58" s="244"/>
      <c r="R58" s="244"/>
      <c r="S58" s="244"/>
      <c r="T58" s="244"/>
      <c r="U58" s="244"/>
    </row>
    <row r="59" spans="2:21" ht="15.5">
      <c r="B59" s="245"/>
      <c r="C59" s="307" t="str">
        <f>"C.   Determine Gross Margin Tax with hypothetical "&amp;F13&amp;" basis point increase in ROE."</f>
        <v>C.   Determine Gross Margin Tax with hypothetical 0 basis point increase in ROE.</v>
      </c>
      <c r="D59" s="331"/>
      <c r="E59" s="331"/>
      <c r="F59" s="332"/>
      <c r="G59" s="245"/>
      <c r="H59" s="333"/>
      <c r="I59" s="245"/>
      <c r="J59" s="279"/>
      <c r="K59" s="244"/>
      <c r="L59" s="244"/>
      <c r="M59" s="244"/>
      <c r="N59" s="244"/>
      <c r="O59" s="244"/>
      <c r="P59" s="244"/>
      <c r="Q59" s="244"/>
      <c r="R59" s="244"/>
      <c r="S59" s="244"/>
      <c r="T59" s="244"/>
      <c r="U59" s="244"/>
    </row>
    <row r="60" spans="2:21" ht="12.5">
      <c r="B60" s="245"/>
      <c r="C60" s="300" t="str">
        <f>"   Net Revenue Requirement before Gross Margin Taxes, with "&amp;F13&amp;" "</f>
        <v xml:space="preserve">   Net Revenue Requirement before Gross Margin Taxes, with 0 </v>
      </c>
      <c r="D60" s="331"/>
      <c r="E60" s="331"/>
      <c r="F60" s="332">
        <f>+F53</f>
        <v>182594614.07668263</v>
      </c>
      <c r="G60" s="245"/>
      <c r="H60" s="333"/>
      <c r="I60" s="245"/>
      <c r="J60" s="279"/>
      <c r="K60" s="244"/>
      <c r="L60" s="244"/>
      <c r="M60" s="244"/>
      <c r="N60" s="244"/>
      <c r="O60" s="244"/>
      <c r="P60" s="244"/>
      <c r="Q60" s="244"/>
      <c r="R60" s="244"/>
      <c r="S60" s="244"/>
      <c r="T60" s="244"/>
      <c r="U60" s="244"/>
    </row>
    <row r="61" spans="2:21" ht="12.5">
      <c r="B61" s="245"/>
      <c r="C61" s="300" t="s">
        <v>28</v>
      </c>
      <c r="D61" s="331"/>
      <c r="E61" s="331"/>
      <c r="F61" s="332"/>
      <c r="G61" s="245"/>
      <c r="H61" s="333"/>
      <c r="I61" s="245"/>
      <c r="J61" s="279"/>
      <c r="K61" s="244"/>
      <c r="L61" s="244"/>
      <c r="M61" s="244"/>
      <c r="N61" s="244"/>
      <c r="O61" s="244"/>
      <c r="P61" s="244"/>
      <c r="Q61" s="244"/>
      <c r="R61" s="244"/>
      <c r="S61" s="244"/>
      <c r="T61" s="244"/>
      <c r="U61" s="244"/>
    </row>
    <row r="62" spans="2:21" ht="12.5">
      <c r="B62" s="245"/>
      <c r="C62" s="249" t="str">
        <f>+S118</f>
        <v xml:space="preserve">       Apportionment Factor to Texas (Worksheet K, ln 12)</v>
      </c>
      <c r="D62" s="334"/>
      <c r="E62" s="245"/>
      <c r="F62" s="335">
        <f>+R118</f>
        <v>0</v>
      </c>
      <c r="G62" s="245"/>
      <c r="H62" s="333"/>
      <c r="I62" s="245"/>
      <c r="J62" s="279"/>
      <c r="K62" s="244"/>
      <c r="L62" s="244"/>
      <c r="M62" s="244"/>
      <c r="N62" s="244"/>
      <c r="O62" s="244"/>
      <c r="P62" s="244"/>
      <c r="Q62" s="244"/>
      <c r="R62" s="244"/>
      <c r="S62" s="244"/>
      <c r="T62" s="244"/>
      <c r="U62" s="244"/>
    </row>
    <row r="63" spans="2:21" ht="12.5">
      <c r="B63" s="245"/>
      <c r="C63" s="249" t="s">
        <v>29</v>
      </c>
      <c r="D63" s="334"/>
      <c r="E63" s="245"/>
      <c r="F63" s="332">
        <f>+F60*F62</f>
        <v>0</v>
      </c>
      <c r="G63" s="245"/>
      <c r="H63" s="333"/>
      <c r="I63" s="245"/>
      <c r="J63" s="279"/>
      <c r="K63" s="244"/>
      <c r="L63" s="244"/>
      <c r="M63" s="244"/>
      <c r="N63" s="244"/>
      <c r="O63" s="244"/>
      <c r="P63" s="244"/>
      <c r="Q63" s="244"/>
      <c r="R63" s="244"/>
      <c r="S63" s="244"/>
      <c r="T63" s="244"/>
      <c r="U63" s="244"/>
    </row>
    <row r="64" spans="2:21" ht="12.5">
      <c r="B64" s="245"/>
      <c r="C64" s="249" t="s">
        <v>257</v>
      </c>
      <c r="D64" s="334"/>
      <c r="E64" s="245"/>
      <c r="F64" s="336">
        <v>0.22</v>
      </c>
      <c r="G64" s="245"/>
      <c r="H64" s="333"/>
      <c r="I64" s="245"/>
      <c r="J64" s="279"/>
      <c r="K64" s="244"/>
      <c r="L64" s="244"/>
      <c r="M64" s="244"/>
      <c r="N64" s="244"/>
      <c r="O64" s="244"/>
      <c r="P64" s="244"/>
      <c r="Q64" s="244"/>
      <c r="R64" s="244"/>
      <c r="S64" s="244"/>
      <c r="T64" s="244"/>
      <c r="U64" s="244"/>
    </row>
    <row r="65" spans="2:21" ht="12.5">
      <c r="B65" s="245"/>
      <c r="C65" s="249" t="s">
        <v>30</v>
      </c>
      <c r="D65" s="334"/>
      <c r="E65" s="245"/>
      <c r="F65" s="332">
        <f>+F63*F64</f>
        <v>0</v>
      </c>
      <c r="G65" s="245"/>
      <c r="H65" s="333"/>
      <c r="I65" s="245"/>
      <c r="J65" s="279"/>
      <c r="K65" s="244"/>
      <c r="L65" s="244"/>
      <c r="M65" s="244"/>
      <c r="N65" s="244"/>
      <c r="O65" s="244"/>
      <c r="P65" s="244"/>
      <c r="Q65" s="244"/>
      <c r="R65" s="244"/>
      <c r="S65" s="244"/>
      <c r="T65" s="244"/>
      <c r="U65" s="244"/>
    </row>
    <row r="66" spans="2:21" ht="12.5">
      <c r="B66" s="245"/>
      <c r="C66" s="249" t="s">
        <v>31</v>
      </c>
      <c r="D66" s="334"/>
      <c r="E66" s="245"/>
      <c r="F66" s="336">
        <v>0.01</v>
      </c>
      <c r="G66" s="245"/>
      <c r="H66" s="333"/>
      <c r="I66" s="245"/>
      <c r="J66" s="279"/>
      <c r="K66" s="244"/>
      <c r="L66" s="244"/>
      <c r="M66" s="244"/>
      <c r="N66" s="244"/>
      <c r="O66" s="244"/>
      <c r="P66" s="244"/>
      <c r="Q66" s="244"/>
      <c r="R66" s="244"/>
      <c r="S66" s="244"/>
      <c r="T66" s="244"/>
      <c r="U66" s="244"/>
    </row>
    <row r="67" spans="2:21" ht="12.5">
      <c r="B67" s="245"/>
      <c r="C67" s="249" t="s">
        <v>32</v>
      </c>
      <c r="D67" s="334"/>
      <c r="E67" s="245"/>
      <c r="F67" s="332">
        <f>+F65*F66</f>
        <v>0</v>
      </c>
      <c r="G67" s="245"/>
      <c r="H67" s="333"/>
      <c r="I67" s="245"/>
      <c r="J67" s="279"/>
      <c r="K67" s="244"/>
      <c r="L67" s="244"/>
      <c r="M67" s="244"/>
      <c r="N67" s="244"/>
      <c r="O67" s="244"/>
      <c r="P67" s="244"/>
      <c r="Q67" s="244"/>
      <c r="R67" s="244"/>
      <c r="S67" s="244"/>
      <c r="T67" s="244"/>
      <c r="U67" s="244"/>
    </row>
    <row r="68" spans="2:21" ht="12.5">
      <c r="B68" s="245"/>
      <c r="C68" s="249" t="s">
        <v>33</v>
      </c>
      <c r="D68" s="334"/>
      <c r="E68" s="245"/>
      <c r="F68" s="337">
        <f>+ROUND((F67*F64*F62)/(1-F66)*F66,0)</f>
        <v>0</v>
      </c>
      <c r="G68" s="245"/>
      <c r="H68" s="333"/>
      <c r="I68" s="245"/>
      <c r="J68" s="279"/>
      <c r="K68" s="244"/>
      <c r="L68" s="244"/>
      <c r="M68" s="244"/>
      <c r="N68" s="244"/>
      <c r="O68" s="244"/>
      <c r="P68" s="244"/>
      <c r="Q68" s="244"/>
      <c r="R68" s="244"/>
      <c r="S68" s="244"/>
      <c r="T68" s="244"/>
      <c r="U68" s="244"/>
    </row>
    <row r="69" spans="2:21" ht="12.5">
      <c r="B69" s="245"/>
      <c r="C69" s="249" t="s">
        <v>34</v>
      </c>
      <c r="D69" s="334"/>
      <c r="E69" s="245"/>
      <c r="F69" s="332">
        <f>+F67+F68</f>
        <v>0</v>
      </c>
      <c r="G69" s="245"/>
      <c r="H69" s="333"/>
      <c r="I69" s="245"/>
      <c r="J69" s="279"/>
      <c r="K69" s="244"/>
      <c r="L69" s="244"/>
      <c r="M69" s="244"/>
      <c r="N69" s="244"/>
      <c r="O69" s="244"/>
      <c r="P69" s="244"/>
      <c r="Q69" s="244"/>
      <c r="R69" s="244"/>
      <c r="S69" s="244"/>
      <c r="T69" s="244"/>
      <c r="U69" s="244"/>
    </row>
    <row r="70" spans="2:21" ht="12.5">
      <c r="B70" s="244"/>
      <c r="C70" s="244"/>
      <c r="D70" s="293"/>
      <c r="E70" s="244"/>
      <c r="F70" s="244"/>
      <c r="G70" s="244"/>
      <c r="H70" s="326"/>
      <c r="I70" s="244"/>
      <c r="J70" s="279"/>
      <c r="K70" s="244"/>
      <c r="L70" s="244"/>
      <c r="M70" s="244"/>
      <c r="N70" s="244"/>
      <c r="O70" s="244"/>
      <c r="P70" s="244"/>
      <c r="Q70" s="244"/>
      <c r="R70" s="244"/>
      <c r="S70" s="244"/>
      <c r="T70" s="244"/>
      <c r="U70" s="244"/>
    </row>
    <row r="71" spans="2:21" ht="15.5">
      <c r="B71" s="244"/>
      <c r="C71" s="236" t="str">
        <f>"D.   Determine FCR with hypothetical "&amp;F13&amp;" basis point ROE increase."</f>
        <v>D.   Determine FCR with hypothetical 0 basis point ROE increase.</v>
      </c>
      <c r="D71" s="293"/>
      <c r="E71" s="244"/>
      <c r="F71" s="244"/>
      <c r="G71" s="244"/>
      <c r="H71" s="326"/>
      <c r="I71" s="244"/>
      <c r="J71" s="279"/>
      <c r="K71" s="244"/>
      <c r="L71" s="244"/>
      <c r="M71" s="244"/>
      <c r="N71" s="244"/>
      <c r="O71" s="244"/>
      <c r="P71" s="244"/>
      <c r="Q71" s="244"/>
      <c r="R71" s="244"/>
      <c r="S71" s="244"/>
      <c r="T71" s="244"/>
      <c r="U71" s="244"/>
    </row>
    <row r="72" spans="2:21" ht="12.5">
      <c r="B72" s="244"/>
      <c r="C72" s="237" t="str">
        <f>+S119</f>
        <v xml:space="preserve">   Net Transmission Plant  (TCOS, ln 37)</v>
      </c>
      <c r="D72" s="293"/>
      <c r="E72" s="244"/>
      <c r="F72" s="327">
        <f>+R119</f>
        <v>1230516864.8203597</v>
      </c>
      <c r="G72" s="338"/>
      <c r="H72" s="213"/>
      <c r="J72" s="221"/>
      <c r="P72" s="244"/>
      <c r="Q72" s="244"/>
      <c r="R72" s="244"/>
      <c r="S72" s="244"/>
      <c r="T72" s="244"/>
      <c r="U72" s="326"/>
    </row>
    <row r="73" spans="2:21" ht="12.5">
      <c r="B73" s="244"/>
      <c r="C73" s="249" t="str">
        <f>"   Net Revenue Requirement, with "&amp;F13&amp;" Basis Point ROE increase"</f>
        <v xml:space="preserve">   Net Revenue Requirement, with 0 Basis Point ROE increase</v>
      </c>
      <c r="D73" s="293"/>
      <c r="E73" s="244"/>
      <c r="F73" s="339">
        <f>F53</f>
        <v>182594614.07668263</v>
      </c>
      <c r="H73" s="213"/>
      <c r="J73" s="221"/>
      <c r="P73" s="244"/>
      <c r="Q73" s="244"/>
      <c r="R73" s="244"/>
      <c r="S73" s="244"/>
      <c r="T73" s="244"/>
      <c r="U73" s="326"/>
    </row>
    <row r="74" spans="2:21" ht="12.5">
      <c r="B74" s="244"/>
      <c r="C74" s="249" t="str">
        <f>"   FCR with "&amp;F13&amp;" Basis Point increase in ROE"</f>
        <v xml:space="preserve">   FCR with 0 Basis Point increase in ROE</v>
      </c>
      <c r="D74" s="293"/>
      <c r="E74" s="244"/>
      <c r="F74" s="340">
        <f>IF(F72=0,0,F73/F72)</f>
        <v>0.14838855061392367</v>
      </c>
      <c r="H74" s="213"/>
      <c r="J74" s="221"/>
      <c r="P74" s="244"/>
      <c r="Q74" s="244"/>
      <c r="R74" s="244"/>
      <c r="S74" s="244"/>
      <c r="T74" s="244"/>
      <c r="U74" s="326"/>
    </row>
    <row r="75" spans="2:21" ht="12.5">
      <c r="B75" s="244"/>
      <c r="D75" s="293"/>
      <c r="E75" s="244"/>
      <c r="F75" s="245"/>
      <c r="H75" s="213"/>
      <c r="J75" s="221"/>
      <c r="P75" s="244"/>
      <c r="Q75" s="244"/>
      <c r="R75" s="244"/>
      <c r="S75" s="244"/>
      <c r="T75" s="244"/>
      <c r="U75" s="326"/>
    </row>
    <row r="76" spans="2:21" ht="12.5">
      <c r="B76" s="244"/>
      <c r="C76" s="249" t="str">
        <f>"   Net Rev. Req, w / "&amp;F13&amp;" Basis Point ROE increase, less Dep."</f>
        <v xml:space="preserve">   Net Rev. Req, w / 0 Basis Point ROE increase, less Dep.</v>
      </c>
      <c r="D76" s="293"/>
      <c r="E76" s="244"/>
      <c r="F76" s="327">
        <f>F57</f>
        <v>139651399.26838654</v>
      </c>
      <c r="G76" s="338"/>
      <c r="H76" s="213"/>
      <c r="J76" s="221"/>
      <c r="P76" s="244"/>
      <c r="Q76" s="244"/>
      <c r="R76" s="244"/>
      <c r="S76" s="244"/>
      <c r="T76" s="244"/>
      <c r="U76" s="326"/>
    </row>
    <row r="77" spans="2:21" ht="12.5">
      <c r="B77" s="244"/>
      <c r="C77" s="249" t="str">
        <f>"   FCR with "&amp;F13&amp;" Basis Point ROE increase, less Depreciation"</f>
        <v xml:space="preserve">   FCR with 0 Basis Point ROE increase, less Depreciation</v>
      </c>
      <c r="D77" s="293"/>
      <c r="E77" s="244"/>
      <c r="F77" s="340">
        <f>IF(F72=0,0,F76/F72)</f>
        <v>0.11349003273415023</v>
      </c>
      <c r="G77" s="340"/>
      <c r="H77" s="213"/>
      <c r="J77" s="221"/>
      <c r="P77" s="244"/>
      <c r="Q77" s="244"/>
      <c r="R77" s="244"/>
      <c r="S77" s="244"/>
      <c r="T77" s="244"/>
      <c r="U77" s="326"/>
    </row>
    <row r="78" spans="2:21" ht="12.5">
      <c r="B78" s="244"/>
      <c r="C78" s="237" t="str">
        <f>+S120</f>
        <v xml:space="preserve">   FCR less Depreciation  (TCOS, ln 10)</v>
      </c>
      <c r="D78" s="293"/>
      <c r="E78" s="244"/>
      <c r="F78" s="341">
        <f>+R120</f>
        <v>0.11475877389767174</v>
      </c>
      <c r="H78" s="213"/>
      <c r="J78" s="221"/>
      <c r="P78" s="244"/>
      <c r="Q78" s="244"/>
      <c r="R78" s="244"/>
      <c r="S78" s="244"/>
      <c r="T78" s="244"/>
      <c r="U78" s="326"/>
    </row>
    <row r="79" spans="2:21" ht="12.5">
      <c r="B79" s="244"/>
      <c r="C79" s="735" t="str">
        <f>"   Incremental FCR with "&amp;F13&amp;" Basis Point ROE increase, less Depreciation"</f>
        <v xml:space="preserve">   Incremental FCR with 0 Basis Point ROE increase, less Depreciation</v>
      </c>
      <c r="D79" s="734"/>
      <c r="E79" s="734"/>
      <c r="F79" s="340">
        <f>F77-F78</f>
        <v>-1.2687411635215057E-3</v>
      </c>
      <c r="H79" s="213"/>
      <c r="J79" s="221"/>
      <c r="P79" s="244"/>
      <c r="Q79" s="244"/>
      <c r="R79" s="244"/>
      <c r="S79" s="244"/>
      <c r="T79" s="244"/>
      <c r="U79" s="326"/>
    </row>
    <row r="80" spans="2:21" ht="12.5">
      <c r="B80" s="244"/>
      <c r="C80" s="734"/>
      <c r="D80" s="734"/>
      <c r="E80" s="734"/>
      <c r="F80" s="340"/>
      <c r="G80" s="244"/>
      <c r="H80" s="326"/>
      <c r="I80" s="244"/>
      <c r="J80" s="279"/>
      <c r="K80" s="244"/>
      <c r="L80" s="244"/>
      <c r="M80" s="244"/>
      <c r="N80" s="244"/>
      <c r="O80" s="244"/>
      <c r="P80" s="244"/>
      <c r="Q80" s="244"/>
      <c r="R80" s="244"/>
      <c r="S80" s="244"/>
      <c r="T80" s="244"/>
      <c r="U80" s="244"/>
    </row>
    <row r="81" spans="2:21" ht="18">
      <c r="B81" s="234" t="s">
        <v>35</v>
      </c>
      <c r="C81" s="306" t="s">
        <v>36</v>
      </c>
      <c r="D81" s="293"/>
      <c r="E81" s="244"/>
      <c r="F81" s="340"/>
      <c r="G81" s="244"/>
      <c r="H81" s="326"/>
      <c r="I81" s="244"/>
      <c r="J81" s="279"/>
      <c r="K81" s="244"/>
      <c r="L81" s="244"/>
      <c r="M81" s="244"/>
      <c r="N81" s="244"/>
      <c r="O81" s="244"/>
      <c r="P81" s="244"/>
      <c r="Q81" s="244"/>
      <c r="R81" s="244"/>
      <c r="S81" s="244"/>
      <c r="T81" s="244"/>
      <c r="U81" s="244"/>
    </row>
    <row r="82" spans="2:21" ht="12.75" customHeight="1">
      <c r="B82" s="234"/>
      <c r="C82" s="249" t="s">
        <v>37</v>
      </c>
      <c r="D82" s="293"/>
      <c r="F82" s="333">
        <f>R121</f>
        <v>1347223477.80827</v>
      </c>
      <c r="G82" s="244" t="s">
        <v>241</v>
      </c>
      <c r="H82" s="326"/>
      <c r="I82" s="726" t="s">
        <v>259</v>
      </c>
      <c r="J82" s="726"/>
      <c r="K82" s="726"/>
      <c r="L82" s="726"/>
      <c r="M82" s="726"/>
      <c r="N82" s="726"/>
      <c r="O82" s="244"/>
      <c r="P82" s="244"/>
      <c r="Q82" s="244"/>
      <c r="R82" s="244"/>
      <c r="S82" s="244"/>
      <c r="T82" s="244"/>
      <c r="U82" s="244"/>
    </row>
    <row r="83" spans="2:21" ht="12.75" customHeight="1">
      <c r="B83" s="234"/>
      <c r="C83" s="249" t="s">
        <v>38</v>
      </c>
      <c r="D83" s="293"/>
      <c r="F83" s="342">
        <f>R122</f>
        <v>1498353044.5838799</v>
      </c>
      <c r="G83" s="244" t="s">
        <v>241</v>
      </c>
      <c r="H83" s="326"/>
      <c r="I83" s="726"/>
      <c r="J83" s="726"/>
      <c r="K83" s="726"/>
      <c r="L83" s="726"/>
      <c r="M83" s="726"/>
      <c r="N83" s="726"/>
      <c r="O83" s="244"/>
      <c r="P83" s="244"/>
      <c r="Q83" s="244"/>
      <c r="R83" s="244"/>
      <c r="S83" s="244"/>
      <c r="T83" s="244"/>
      <c r="U83" s="244"/>
    </row>
    <row r="84" spans="2:21" ht="12.5">
      <c r="B84" s="244"/>
      <c r="C84" s="249"/>
      <c r="D84" s="293"/>
      <c r="F84" s="326">
        <f>SUM(F82:F83)</f>
        <v>2845576522.3921499</v>
      </c>
      <c r="G84" s="327"/>
      <c r="H84" s="326"/>
      <c r="I84" s="726"/>
      <c r="J84" s="726"/>
      <c r="K84" s="726"/>
      <c r="L84" s="726"/>
      <c r="M84" s="726"/>
      <c r="N84" s="726"/>
      <c r="O84" s="244"/>
      <c r="P84" s="244"/>
      <c r="Q84" s="244"/>
      <c r="R84" s="244"/>
      <c r="S84" s="244"/>
      <c r="T84" s="244"/>
      <c r="U84" s="244"/>
    </row>
    <row r="85" spans="2:21" ht="12.5">
      <c r="B85" s="244"/>
      <c r="C85" s="249" t="str">
        <f>S123</f>
        <v>Transmission Plant Average Balance for 2018</v>
      </c>
      <c r="D85" s="334"/>
      <c r="E85" s="152"/>
      <c r="F85" s="343">
        <f>+F84/2</f>
        <v>1422788261.196075</v>
      </c>
      <c r="G85" s="344"/>
      <c r="H85" s="326"/>
      <c r="I85" s="726"/>
      <c r="J85" s="726"/>
      <c r="K85" s="726"/>
      <c r="L85" s="726"/>
      <c r="M85" s="726"/>
      <c r="N85" s="726"/>
      <c r="O85" s="244"/>
      <c r="P85" s="244"/>
      <c r="Q85" s="244"/>
      <c r="R85" s="244"/>
      <c r="S85" s="244"/>
      <c r="T85" s="244"/>
      <c r="U85" s="244"/>
    </row>
    <row r="86" spans="2:21" ht="12.5">
      <c r="B86" s="244"/>
      <c r="C86" s="237" t="str">
        <f>S124</f>
        <v>Annual Depreciation Expense  (Historic TCOS, ln 259)</v>
      </c>
      <c r="D86" s="334"/>
      <c r="E86" s="245"/>
      <c r="F86" s="343">
        <f>R124</f>
        <v>42943214.808296099</v>
      </c>
      <c r="G86" s="244"/>
      <c r="H86" s="326"/>
      <c r="I86" s="726"/>
      <c r="J86" s="726"/>
      <c r="K86" s="726"/>
      <c r="L86" s="726"/>
      <c r="M86" s="726"/>
      <c r="N86" s="726"/>
      <c r="O86" s="244"/>
      <c r="P86" s="244"/>
      <c r="Q86" s="244"/>
      <c r="R86" s="244"/>
      <c r="S86" s="244"/>
      <c r="T86" s="244"/>
      <c r="U86" s="244"/>
    </row>
    <row r="87" spans="2:21" ht="12.5">
      <c r="B87" s="244"/>
      <c r="C87" s="249" t="s">
        <v>39</v>
      </c>
      <c r="D87" s="293"/>
      <c r="E87" s="244"/>
      <c r="F87" s="345">
        <f>F86/F85</f>
        <v>3.0182435418883512E-2</v>
      </c>
      <c r="G87" s="244"/>
      <c r="H87" s="346"/>
      <c r="I87" s="726"/>
      <c r="J87" s="726"/>
      <c r="K87" s="726"/>
      <c r="L87" s="726"/>
      <c r="M87" s="726"/>
      <c r="N87" s="726"/>
      <c r="O87" s="244"/>
      <c r="P87" s="244"/>
      <c r="Q87" s="244"/>
      <c r="R87" s="244"/>
      <c r="S87" s="244"/>
      <c r="T87" s="244"/>
      <c r="U87" s="244"/>
    </row>
    <row r="88" spans="2:21" ht="12.5">
      <c r="B88" s="244"/>
      <c r="C88" s="249" t="s">
        <v>40</v>
      </c>
      <c r="D88" s="293"/>
      <c r="E88" s="244"/>
      <c r="F88" s="347">
        <f>IF(F87=0,0,1/F87)</f>
        <v>33.131852553367985</v>
      </c>
      <c r="H88" s="326"/>
      <c r="I88" s="244"/>
      <c r="J88" s="279"/>
      <c r="K88" s="244"/>
      <c r="L88" s="244"/>
      <c r="M88" s="244"/>
      <c r="N88" s="244"/>
      <c r="O88" s="244"/>
      <c r="P88" s="244"/>
      <c r="Q88" s="244"/>
      <c r="R88" s="244"/>
      <c r="S88" s="244"/>
      <c r="T88" s="244"/>
      <c r="U88" s="244"/>
    </row>
    <row r="89" spans="2:21" ht="12.5">
      <c r="B89" s="244"/>
      <c r="C89" s="249" t="s">
        <v>41</v>
      </c>
      <c r="D89" s="293"/>
      <c r="E89" s="244"/>
      <c r="F89" s="348">
        <f>ROUND(F88,0)</f>
        <v>33</v>
      </c>
      <c r="G89" s="244"/>
      <c r="H89" s="326"/>
      <c r="I89" s="244"/>
      <c r="J89" s="279"/>
      <c r="K89" s="244"/>
      <c r="L89" s="244"/>
      <c r="M89" s="244"/>
      <c r="N89" s="244"/>
      <c r="O89" s="244"/>
      <c r="P89" s="244"/>
      <c r="Q89" s="244"/>
      <c r="R89" s="244"/>
      <c r="S89" s="244"/>
      <c r="T89" s="244"/>
      <c r="U89" s="244"/>
    </row>
    <row r="90" spans="2:21" ht="12.5">
      <c r="C90" s="349"/>
      <c r="D90" s="350"/>
      <c r="E90" s="350"/>
      <c r="F90" s="350"/>
      <c r="G90" s="295"/>
      <c r="H90" s="295"/>
      <c r="I90" s="351"/>
      <c r="J90" s="351"/>
      <c r="K90" s="351"/>
      <c r="L90" s="351"/>
      <c r="M90" s="351"/>
      <c r="N90" s="351"/>
      <c r="O90" s="279"/>
      <c r="P90" s="279"/>
      <c r="Q90" s="244"/>
      <c r="R90" s="244"/>
      <c r="S90" s="244"/>
      <c r="T90" s="244"/>
      <c r="U90" s="244"/>
    </row>
    <row r="91" spans="2:21" ht="12.5">
      <c r="C91" s="349"/>
      <c r="D91" s="350"/>
      <c r="E91" s="350"/>
      <c r="F91" s="350"/>
      <c r="G91" s="295"/>
      <c r="H91" s="295"/>
      <c r="I91" s="351"/>
      <c r="J91" s="351"/>
      <c r="K91" s="351"/>
      <c r="L91" s="351"/>
      <c r="M91" s="351"/>
      <c r="N91" s="351"/>
      <c r="O91" s="279"/>
      <c r="P91" s="279"/>
      <c r="Q91" s="244"/>
      <c r="R91" s="244"/>
      <c r="S91" s="244"/>
      <c r="T91" s="244"/>
      <c r="U91" s="244"/>
    </row>
    <row r="92" spans="2:21" ht="12.5">
      <c r="J92" s="221"/>
      <c r="P92" s="244"/>
      <c r="Q92" s="244"/>
      <c r="R92" s="244"/>
      <c r="S92" s="244"/>
      <c r="T92" s="244"/>
      <c r="U92" s="244"/>
    </row>
    <row r="93" spans="2:21" ht="13">
      <c r="J93" s="221"/>
      <c r="P93" s="244"/>
      <c r="Q93" s="244"/>
      <c r="R93" s="352" t="s">
        <v>111</v>
      </c>
      <c r="S93" s="145" t="s">
        <v>112</v>
      </c>
      <c r="U93" s="244"/>
    </row>
    <row r="94" spans="2:21" ht="12.5">
      <c r="J94" s="221"/>
      <c r="P94" s="244"/>
      <c r="Q94" s="244"/>
      <c r="U94" s="244"/>
    </row>
    <row r="95" spans="2:21" ht="13">
      <c r="C95" s="233" t="s">
        <v>108</v>
      </c>
      <c r="J95" s="221"/>
      <c r="L95" s="233" t="s">
        <v>107</v>
      </c>
      <c r="P95" s="244"/>
      <c r="Q95" s="244"/>
      <c r="U95" s="244"/>
    </row>
    <row r="96" spans="2:21" ht="13">
      <c r="J96" s="221"/>
      <c r="P96" s="244"/>
      <c r="Q96" s="244"/>
      <c r="R96" s="352" t="s">
        <v>102</v>
      </c>
      <c r="S96" s="353" t="s">
        <v>250</v>
      </c>
      <c r="U96" s="244"/>
    </row>
    <row r="97" spans="10:21" ht="13">
      <c r="J97" s="221"/>
      <c r="P97" s="244"/>
      <c r="Q97" s="244"/>
      <c r="R97" s="352"/>
      <c r="S97" s="201" t="s">
        <v>106</v>
      </c>
      <c r="U97" s="244"/>
    </row>
    <row r="98" spans="10:21" ht="13.5" thickBot="1">
      <c r="J98" s="221"/>
      <c r="P98" s="244"/>
      <c r="Q98" s="244"/>
      <c r="R98" s="354" t="s">
        <v>184</v>
      </c>
      <c r="U98" s="244"/>
    </row>
    <row r="99" spans="10:21" ht="12.5">
      <c r="J99" s="221"/>
      <c r="P99" s="244"/>
      <c r="Q99" s="244"/>
      <c r="R99" s="355" t="s">
        <v>126</v>
      </c>
      <c r="S99" s="356" t="s">
        <v>127</v>
      </c>
      <c r="U99" s="244"/>
    </row>
    <row r="100" spans="10:21" ht="12.5">
      <c r="J100" s="221"/>
      <c r="P100" s="244"/>
      <c r="Q100" s="244"/>
      <c r="R100" s="357">
        <v>2022</v>
      </c>
      <c r="S100" s="358" t="s">
        <v>286</v>
      </c>
      <c r="T100" s="244"/>
      <c r="U100" s="244"/>
    </row>
    <row r="101" spans="10:21" ht="12.5">
      <c r="J101" s="221"/>
      <c r="P101" s="244"/>
      <c r="Q101" s="244"/>
      <c r="R101" s="359">
        <v>0.105</v>
      </c>
      <c r="S101" s="358" t="s">
        <v>271</v>
      </c>
      <c r="T101" s="244"/>
      <c r="U101" s="244"/>
    </row>
    <row r="102" spans="10:21" ht="12.5">
      <c r="J102" s="221"/>
      <c r="P102" s="244"/>
      <c r="Q102" s="244"/>
      <c r="R102" s="360">
        <v>0</v>
      </c>
      <c r="S102" s="358" t="s">
        <v>1</v>
      </c>
      <c r="T102" s="244"/>
      <c r="U102" s="244"/>
    </row>
    <row r="103" spans="10:21" ht="12.5">
      <c r="J103" s="221"/>
      <c r="P103" s="244"/>
      <c r="Q103" s="244"/>
      <c r="R103" s="361">
        <v>0.4524690885557221</v>
      </c>
      <c r="S103" s="362" t="s">
        <v>97</v>
      </c>
      <c r="T103" s="244"/>
      <c r="U103" s="244"/>
    </row>
    <row r="104" spans="10:21" ht="12.5">
      <c r="J104" s="221"/>
      <c r="P104" s="244"/>
      <c r="Q104" s="244"/>
      <c r="R104" s="361">
        <v>4.0682834836160274E-2</v>
      </c>
      <c r="S104" s="362" t="s">
        <v>98</v>
      </c>
      <c r="T104" s="244"/>
      <c r="U104" s="244"/>
    </row>
    <row r="105" spans="10:21" ht="12.5">
      <c r="J105" s="221"/>
      <c r="P105" s="244"/>
      <c r="Q105" s="244"/>
      <c r="R105" s="361">
        <v>0</v>
      </c>
      <c r="S105" s="362" t="s">
        <v>99</v>
      </c>
      <c r="T105" s="244"/>
      <c r="U105" s="244"/>
    </row>
    <row r="106" spans="10:21" ht="12.5">
      <c r="J106" s="221"/>
      <c r="P106" s="244"/>
      <c r="Q106" s="244"/>
      <c r="R106" s="361">
        <v>0</v>
      </c>
      <c r="S106" s="362" t="s">
        <v>100</v>
      </c>
      <c r="T106" s="244"/>
      <c r="U106" s="244"/>
    </row>
    <row r="107" spans="10:21" ht="12.5">
      <c r="J107" s="221"/>
      <c r="P107" s="244"/>
      <c r="Q107" s="244"/>
      <c r="R107" s="361">
        <v>0.5475309114442779</v>
      </c>
      <c r="S107" s="363" t="s">
        <v>101</v>
      </c>
      <c r="T107" s="244"/>
      <c r="U107" s="244"/>
    </row>
    <row r="108" spans="10:21" ht="12.5">
      <c r="J108" s="221"/>
      <c r="P108" s="244"/>
      <c r="Q108" s="244"/>
      <c r="R108" s="364">
        <v>1097562635.6731257</v>
      </c>
      <c r="S108" s="365" t="s">
        <v>272</v>
      </c>
      <c r="T108" s="244"/>
      <c r="U108" s="244"/>
    </row>
    <row r="109" spans="10:21" ht="12.5">
      <c r="J109" s="221"/>
      <c r="P109" s="244"/>
      <c r="Q109" s="244"/>
      <c r="R109" s="366">
        <v>0.24160000000000004</v>
      </c>
      <c r="S109" s="367" t="s">
        <v>273</v>
      </c>
      <c r="T109" s="244"/>
      <c r="U109" s="244"/>
    </row>
    <row r="110" spans="10:21" ht="12.5">
      <c r="J110" s="221"/>
      <c r="P110" s="244"/>
      <c r="Q110" s="244"/>
      <c r="R110" s="368">
        <v>0</v>
      </c>
      <c r="S110" s="367" t="s">
        <v>274</v>
      </c>
      <c r="T110" s="244"/>
      <c r="U110" s="244"/>
    </row>
    <row r="111" spans="10:21" ht="12.5">
      <c r="J111" s="221"/>
      <c r="P111" s="244"/>
      <c r="Q111" s="244"/>
      <c r="R111" s="368">
        <v>1311651.7140740554</v>
      </c>
      <c r="S111" s="367" t="s">
        <v>275</v>
      </c>
      <c r="T111" s="244"/>
      <c r="U111" s="244"/>
    </row>
    <row r="112" spans="10:21" ht="12.5">
      <c r="J112" s="221"/>
      <c r="P112" s="244"/>
      <c r="Q112" s="244"/>
      <c r="R112" s="368">
        <v>249555.68473101265</v>
      </c>
      <c r="S112" s="367" t="s">
        <v>287</v>
      </c>
      <c r="T112" s="244"/>
      <c r="U112" s="244"/>
    </row>
    <row r="113" spans="3:21" ht="12.5">
      <c r="C113" s="244"/>
      <c r="D113" s="293"/>
      <c r="E113" s="244"/>
      <c r="F113" s="244"/>
      <c r="G113" s="244"/>
      <c r="H113" s="326"/>
      <c r="I113" s="244"/>
      <c r="J113" s="279"/>
      <c r="K113" s="244"/>
      <c r="L113" s="244"/>
      <c r="M113" s="244"/>
      <c r="P113" s="244"/>
      <c r="Q113" s="244"/>
      <c r="R113" s="368">
        <v>184155821.47548768</v>
      </c>
      <c r="S113" s="367" t="s">
        <v>277</v>
      </c>
      <c r="T113" s="244"/>
      <c r="U113" s="244"/>
    </row>
    <row r="114" spans="3:21" ht="12.5">
      <c r="C114" s="244"/>
      <c r="D114" s="293"/>
      <c r="E114" s="244"/>
      <c r="F114" s="244"/>
      <c r="G114" s="244"/>
      <c r="H114" s="326"/>
      <c r="I114" s="244"/>
      <c r="J114" s="279"/>
      <c r="K114" s="244"/>
      <c r="L114" s="244"/>
      <c r="M114" s="244"/>
      <c r="P114" s="244"/>
      <c r="Q114" s="244"/>
      <c r="R114" s="368">
        <v>83303325.764377013</v>
      </c>
      <c r="S114" s="367" t="s">
        <v>278</v>
      </c>
      <c r="T114" s="244"/>
      <c r="U114" s="244"/>
    </row>
    <row r="115" spans="3:21" ht="12.5">
      <c r="C115" s="244"/>
      <c r="D115" s="293"/>
      <c r="E115" s="244"/>
      <c r="F115" s="244"/>
      <c r="G115" s="244"/>
      <c r="H115" s="326"/>
      <c r="I115" s="244"/>
      <c r="J115" s="279"/>
      <c r="K115" s="244"/>
      <c r="L115" s="244"/>
      <c r="M115" s="244"/>
      <c r="P115" s="244"/>
      <c r="Q115" s="244"/>
      <c r="R115" s="368">
        <v>21662586.831814442</v>
      </c>
      <c r="S115" s="367" t="s">
        <v>279</v>
      </c>
      <c r="T115" s="244"/>
      <c r="U115" s="244"/>
    </row>
    <row r="116" spans="3:21" ht="12.5">
      <c r="C116" s="244"/>
      <c r="D116" s="293"/>
      <c r="E116" s="244"/>
      <c r="F116" s="244"/>
      <c r="G116" s="244"/>
      <c r="H116" s="326"/>
      <c r="I116" s="244"/>
      <c r="J116" s="279"/>
      <c r="K116" s="244"/>
      <c r="L116" s="244"/>
      <c r="M116" s="244"/>
      <c r="P116" s="244"/>
      <c r="Q116" s="244"/>
      <c r="R116" s="368">
        <v>0</v>
      </c>
      <c r="S116" s="367" t="s">
        <v>280</v>
      </c>
      <c r="T116" s="244"/>
      <c r="U116" s="244"/>
    </row>
    <row r="117" spans="3:21" ht="12.5">
      <c r="C117" s="244"/>
      <c r="D117" s="293"/>
      <c r="E117" s="244"/>
      <c r="F117" s="244"/>
      <c r="G117" s="244"/>
      <c r="H117" s="326"/>
      <c r="I117" s="244"/>
      <c r="J117" s="279"/>
      <c r="K117" s="244"/>
      <c r="L117" s="244"/>
      <c r="M117" s="244"/>
      <c r="P117" s="244"/>
      <c r="Q117" s="244"/>
      <c r="R117" s="368">
        <v>42943214.808296099</v>
      </c>
      <c r="S117" s="367" t="s">
        <v>281</v>
      </c>
      <c r="T117" s="244"/>
      <c r="U117" s="244"/>
    </row>
    <row r="118" spans="3:21" ht="12.5">
      <c r="C118" s="244"/>
      <c r="D118" s="293"/>
      <c r="E118" s="244"/>
      <c r="F118" s="244"/>
      <c r="G118" s="244"/>
      <c r="H118" s="326"/>
      <c r="I118" s="244"/>
      <c r="J118" s="279"/>
      <c r="K118" s="244"/>
      <c r="L118" s="244"/>
      <c r="M118" s="244"/>
      <c r="P118" s="244"/>
      <c r="Q118" s="244"/>
      <c r="R118" s="369">
        <v>0</v>
      </c>
      <c r="S118" s="367" t="s">
        <v>104</v>
      </c>
      <c r="T118" s="244"/>
      <c r="U118" s="244"/>
    </row>
    <row r="119" spans="3:21" ht="12.5">
      <c r="C119" s="244"/>
      <c r="D119" s="293"/>
      <c r="E119" s="244"/>
      <c r="F119" s="244"/>
      <c r="G119" s="244"/>
      <c r="H119" s="326"/>
      <c r="I119" s="244"/>
      <c r="J119" s="279"/>
      <c r="K119" s="244"/>
      <c r="L119" s="244"/>
      <c r="M119" s="244"/>
      <c r="P119" s="244"/>
      <c r="Q119" s="244"/>
      <c r="R119" s="368">
        <v>1230516864.8203597</v>
      </c>
      <c r="S119" s="367" t="s">
        <v>282</v>
      </c>
      <c r="T119" s="244"/>
      <c r="U119" s="244"/>
    </row>
    <row r="120" spans="3:21" ht="12.5">
      <c r="C120" s="244"/>
      <c r="D120" s="293"/>
      <c r="E120" s="244"/>
      <c r="F120" s="244"/>
      <c r="G120" s="244"/>
      <c r="H120" s="326"/>
      <c r="I120" s="244"/>
      <c r="J120" s="279"/>
      <c r="K120" s="244"/>
      <c r="L120" s="244"/>
      <c r="M120" s="244"/>
      <c r="P120" s="244"/>
      <c r="Q120" s="244"/>
      <c r="R120" s="369">
        <v>0.11475877389767174</v>
      </c>
      <c r="S120" s="370" t="s">
        <v>283</v>
      </c>
      <c r="T120" s="244"/>
      <c r="U120" s="244"/>
    </row>
    <row r="121" spans="3:21" ht="12.5">
      <c r="C121" s="244"/>
      <c r="D121" s="293"/>
      <c r="E121" s="244"/>
      <c r="F121" s="244"/>
      <c r="G121" s="244"/>
      <c r="H121" s="326"/>
      <c r="I121" s="244"/>
      <c r="J121" s="279"/>
      <c r="K121" s="244"/>
      <c r="L121" s="244"/>
      <c r="M121" s="244"/>
      <c r="P121" s="244"/>
      <c r="Q121" s="244"/>
      <c r="R121" s="371">
        <v>1347223477.80827</v>
      </c>
      <c r="S121" s="362" t="s">
        <v>37</v>
      </c>
      <c r="T121" s="244"/>
      <c r="U121" s="244"/>
    </row>
    <row r="122" spans="3:21" ht="12.5">
      <c r="C122" s="244"/>
      <c r="D122" s="293"/>
      <c r="E122" s="244"/>
      <c r="F122" s="244"/>
      <c r="G122" s="244"/>
      <c r="H122" s="326"/>
      <c r="I122" s="244"/>
      <c r="J122" s="279"/>
      <c r="K122" s="244"/>
      <c r="L122" s="244"/>
      <c r="M122" s="244"/>
      <c r="P122" s="244"/>
      <c r="Q122" s="244"/>
      <c r="R122" s="372">
        <v>1498353044.5838799</v>
      </c>
      <c r="S122" s="363" t="s">
        <v>38</v>
      </c>
      <c r="T122" s="244"/>
      <c r="U122" s="244"/>
    </row>
    <row r="123" spans="3:21" ht="12.5">
      <c r="C123" s="244"/>
      <c r="D123" s="293"/>
      <c r="E123" s="244"/>
      <c r="F123" s="244"/>
      <c r="G123" s="244"/>
      <c r="H123" s="326"/>
      <c r="I123" s="244"/>
      <c r="J123" s="279"/>
      <c r="K123" s="244"/>
      <c r="L123" s="244"/>
      <c r="M123" s="244"/>
      <c r="N123" s="244"/>
      <c r="P123" s="244"/>
      <c r="Q123" s="244"/>
      <c r="R123" s="372">
        <v>1411267311.8767002</v>
      </c>
      <c r="S123" s="373" t="s">
        <v>285</v>
      </c>
      <c r="T123" s="374"/>
      <c r="U123" s="244"/>
    </row>
    <row r="124" spans="3:21" ht="13" thickBot="1">
      <c r="C124" s="244"/>
      <c r="D124" s="293"/>
      <c r="E124" s="244"/>
      <c r="F124" s="244"/>
      <c r="G124" s="244"/>
      <c r="H124" s="326"/>
      <c r="I124" s="244"/>
      <c r="J124" s="279"/>
      <c r="K124" s="244"/>
      <c r="L124" s="244"/>
      <c r="M124" s="244"/>
      <c r="N124" s="244"/>
      <c r="P124" s="244"/>
      <c r="Q124" s="244"/>
      <c r="R124" s="375">
        <v>42943214.808296099</v>
      </c>
      <c r="S124" s="376" t="s">
        <v>258</v>
      </c>
      <c r="T124" s="244"/>
      <c r="U124" s="244"/>
    </row>
    <row r="125" spans="3:21" ht="12.5">
      <c r="C125" s="244"/>
      <c r="D125" s="293"/>
      <c r="E125" s="244"/>
      <c r="F125" s="244"/>
      <c r="G125" s="244"/>
      <c r="H125" s="326"/>
      <c r="I125" s="244"/>
      <c r="J125" s="279"/>
      <c r="K125" s="244"/>
      <c r="L125" s="244"/>
      <c r="M125" s="244"/>
      <c r="N125" s="244"/>
      <c r="P125" s="244"/>
      <c r="Q125" s="244"/>
      <c r="R125" s="244"/>
      <c r="S125" s="244"/>
      <c r="T125" s="244"/>
      <c r="U125" s="244"/>
    </row>
    <row r="126" spans="3:21" ht="13">
      <c r="C126" s="244"/>
      <c r="D126" s="293"/>
      <c r="E126" s="244"/>
      <c r="F126" s="244"/>
      <c r="G126" s="244"/>
      <c r="H126" s="326"/>
      <c r="I126" s="244"/>
      <c r="J126" s="279"/>
      <c r="K126" s="244"/>
      <c r="L126" s="244"/>
      <c r="M126" s="244"/>
      <c r="N126" s="244"/>
      <c r="P126" s="244"/>
      <c r="Q126" s="244"/>
      <c r="R126" s="352" t="s">
        <v>103</v>
      </c>
      <c r="S126" s="244" t="s">
        <v>115</v>
      </c>
      <c r="T126" s="377"/>
      <c r="U126" s="344"/>
    </row>
    <row r="127" spans="3:21" ht="13.5" thickBot="1">
      <c r="C127" s="249"/>
      <c r="D127" s="322"/>
      <c r="E127" s="249"/>
      <c r="F127" s="249"/>
      <c r="G127" s="249"/>
      <c r="H127" s="324"/>
      <c r="I127" s="244"/>
      <c r="J127" s="279"/>
      <c r="K127" s="244"/>
      <c r="L127" s="244"/>
      <c r="M127" s="244"/>
      <c r="N127" s="244"/>
      <c r="P127" s="244"/>
      <c r="Q127" s="244"/>
      <c r="R127" s="354" t="s">
        <v>185</v>
      </c>
      <c r="S127" s="244"/>
      <c r="T127" s="377"/>
      <c r="U127" s="344"/>
    </row>
    <row r="128" spans="3:21" ht="12.5">
      <c r="C128" s="249"/>
      <c r="D128" s="322"/>
      <c r="E128" s="249"/>
      <c r="F128" s="249"/>
      <c r="G128" s="249"/>
      <c r="H128" s="324"/>
      <c r="I128" s="244"/>
      <c r="J128" s="279"/>
      <c r="K128" s="244"/>
      <c r="L128" s="244"/>
      <c r="M128" s="244"/>
      <c r="N128" s="244"/>
      <c r="P128" s="244"/>
      <c r="Q128" s="244"/>
      <c r="R128" s="378">
        <f>+M19</f>
        <v>39914352.489146076</v>
      </c>
      <c r="S128" s="244" t="str">
        <f>+K19&amp;" "&amp;M17</f>
        <v>PROJECTED YEAR Rev Require</v>
      </c>
      <c r="T128" s="377"/>
      <c r="U128" s="344"/>
    </row>
    <row r="129" spans="3:21" ht="12.5">
      <c r="C129" s="249"/>
      <c r="D129" s="322"/>
      <c r="E129" s="249"/>
      <c r="F129" s="249"/>
      <c r="G129" s="249"/>
      <c r="H129" s="324"/>
      <c r="I129" s="244"/>
      <c r="J129" s="279"/>
      <c r="K129" s="244"/>
      <c r="L129" s="244"/>
      <c r="M129" s="244"/>
      <c r="N129" s="244"/>
      <c r="O129" s="244"/>
      <c r="P129" s="244"/>
      <c r="Q129" s="244"/>
      <c r="R129" s="379">
        <f>+N19</f>
        <v>39914352.489146076</v>
      </c>
      <c r="S129" s="244" t="str">
        <f>K19&amp;" "&amp;N17</f>
        <v>PROJECTED YEAR  W Incentives</v>
      </c>
      <c r="T129" s="244"/>
      <c r="U129" s="244"/>
    </row>
    <row r="130" spans="3:21" ht="13" thickBot="1">
      <c r="C130" s="249"/>
      <c r="D130" s="322"/>
      <c r="E130" s="249"/>
      <c r="F130" s="249"/>
      <c r="G130" s="249"/>
      <c r="H130" s="324"/>
      <c r="I130" s="244"/>
      <c r="J130" s="279"/>
      <c r="K130" s="244"/>
      <c r="L130" s="244"/>
      <c r="M130" s="244"/>
      <c r="N130" s="244"/>
      <c r="O130" s="244"/>
      <c r="P130" s="244"/>
      <c r="Q130" s="244"/>
      <c r="R130" s="380">
        <f>+O19</f>
        <v>0</v>
      </c>
      <c r="S130" s="244" t="str">
        <f>K19&amp;" "&amp;O17</f>
        <v>PROJECTED YEAR Incentive Amounts</v>
      </c>
      <c r="T130" s="244"/>
      <c r="U130" s="244"/>
    </row>
    <row r="131" spans="3:21" ht="12.5">
      <c r="C131" s="249"/>
      <c r="D131" s="322"/>
      <c r="E131" s="249"/>
      <c r="F131" s="249"/>
      <c r="G131" s="249"/>
      <c r="H131" s="324"/>
      <c r="I131" s="244"/>
      <c r="J131" s="279"/>
      <c r="K131" s="244"/>
      <c r="L131" s="244"/>
      <c r="M131" s="244"/>
      <c r="N131" s="244"/>
      <c r="O131" s="244"/>
      <c r="P131" s="244"/>
      <c r="Q131" s="244"/>
      <c r="R131" s="244"/>
      <c r="S131" s="244"/>
      <c r="T131" s="244"/>
      <c r="U131" s="244"/>
    </row>
    <row r="132" spans="3:21" ht="12.75" customHeight="1">
      <c r="R132" s="244"/>
      <c r="S132" s="244"/>
    </row>
    <row r="133" spans="3:21" ht="12.75" customHeight="1">
      <c r="R133" s="352" t="s">
        <v>113</v>
      </c>
      <c r="S133" s="353" t="s">
        <v>114</v>
      </c>
    </row>
  </sheetData>
  <mergeCells count="9">
    <mergeCell ref="I82:N87"/>
    <mergeCell ref="K15:O16"/>
    <mergeCell ref="C8:H8"/>
    <mergeCell ref="C79:E80"/>
    <mergeCell ref="A1:J1"/>
    <mergeCell ref="A3:J3"/>
    <mergeCell ref="A5:J5"/>
    <mergeCell ref="A4:K4"/>
    <mergeCell ref="A2:J2"/>
  </mergeCells>
  <phoneticPr fontId="0" type="noConversion"/>
  <printOptions horizontalCentered="1"/>
  <pageMargins left="0.25" right="0.25" top="0.75" bottom="0.25" header="0.25" footer="0.5"/>
  <pageSetup scale="41" fitToHeight="2" orientation="landscape" horizontalDpi="1200" verticalDpi="1200" r:id="rId1"/>
  <headerFooter alignWithMargins="0">
    <oddHeader xml:space="preserve">&amp;R&amp;16AEPTCo - SPP Formula Rate
&amp;A TCOS - WS F
Page: &amp;P of &amp;N
</oddHeader>
    <oddFooter xml:space="preserve">&amp;C &amp;R </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8"/>
  <dimension ref="A1:P163"/>
  <sheetViews>
    <sheetView topLeftCell="A59" zoomScale="85" zoomScaleNormal="85"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17 of 23</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11430746.557201277</v>
      </c>
      <c r="P5" s="244"/>
    </row>
    <row r="6" spans="1:16" ht="15.5">
      <c r="C6" s="236"/>
      <c r="D6" s="293"/>
      <c r="E6" s="244"/>
      <c r="F6" s="244"/>
      <c r="G6" s="244"/>
      <c r="H6" s="450"/>
      <c r="I6" s="450"/>
      <c r="J6" s="451"/>
      <c r="K6" s="452" t="s">
        <v>243</v>
      </c>
      <c r="L6" s="453"/>
      <c r="M6" s="279"/>
      <c r="N6" s="454">
        <f>VLOOKUP(I10,C17:I73,6)</f>
        <v>11430746.557201277</v>
      </c>
      <c r="O6" s="244"/>
      <c r="P6" s="244"/>
    </row>
    <row r="7" spans="1:16" ht="13.5" thickBot="1">
      <c r="C7" s="455" t="s">
        <v>46</v>
      </c>
      <c r="D7" s="635" t="s">
        <v>247</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263</v>
      </c>
      <c r="E9" s="466"/>
      <c r="F9" s="466"/>
      <c r="G9" s="466"/>
      <c r="H9" s="466"/>
      <c r="I9" s="467"/>
      <c r="J9" s="468"/>
      <c r="O9" s="469"/>
      <c r="P9" s="279"/>
    </row>
    <row r="10" spans="1:16" ht="13">
      <c r="C10" s="470" t="s">
        <v>49</v>
      </c>
      <c r="D10" s="471">
        <v>88160625.260000005</v>
      </c>
      <c r="E10" s="300" t="s">
        <v>50</v>
      </c>
      <c r="F10" s="469"/>
      <c r="G10" s="409"/>
      <c r="H10" s="409"/>
      <c r="I10" s="472">
        <f>+'OKT.WS.F.BPU.ATRR.Projected'!R100</f>
        <v>2022</v>
      </c>
      <c r="J10" s="468"/>
      <c r="K10" s="295" t="s">
        <v>51</v>
      </c>
      <c r="O10" s="279"/>
      <c r="P10" s="279"/>
    </row>
    <row r="11" spans="1:16" ht="12.5">
      <c r="C11" s="473" t="s">
        <v>52</v>
      </c>
      <c r="D11" s="474">
        <v>2017</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12</v>
      </c>
      <c r="E12" s="473" t="s">
        <v>55</v>
      </c>
      <c r="F12" s="409"/>
      <c r="G12" s="221"/>
      <c r="H12" s="221"/>
      <c r="I12" s="477">
        <f>'OKT.WS.F.BPU.ATRR.Projected'!$F$78</f>
        <v>0.11475877389767174</v>
      </c>
      <c r="J12" s="414"/>
      <c r="K12" s="145" t="s">
        <v>56</v>
      </c>
      <c r="O12" s="279"/>
      <c r="P12" s="279"/>
    </row>
    <row r="13" spans="1:16"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row>
    <row r="14" spans="1:16" ht="13" thickBot="1">
      <c r="C14" s="473" t="s">
        <v>60</v>
      </c>
      <c r="D14" s="474" t="s">
        <v>61</v>
      </c>
      <c r="E14" s="279" t="s">
        <v>62</v>
      </c>
      <c r="F14" s="409"/>
      <c r="G14" s="221"/>
      <c r="H14" s="221"/>
      <c r="I14" s="478">
        <f>IF(D10=0,0,D10/D13)</f>
        <v>2671534.0987878791</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2017</v>
      </c>
      <c r="D17" s="613">
        <v>0</v>
      </c>
      <c r="E17" s="621">
        <v>0</v>
      </c>
      <c r="F17" s="613">
        <v>82823000</v>
      </c>
      <c r="G17" s="621">
        <v>4552779.1652027937</v>
      </c>
      <c r="H17" s="618">
        <v>4552779.1652027937</v>
      </c>
      <c r="I17" s="501">
        <f t="shared" ref="I17:I71" si="1">H17-G17</f>
        <v>0</v>
      </c>
      <c r="J17" s="501"/>
      <c r="K17" s="502">
        <f t="shared" ref="K17:K22" si="2">+G17</f>
        <v>4552779.1652027937</v>
      </c>
      <c r="L17" s="504">
        <f t="shared" ref="L17:L71" si="3">IF(K17&lt;&gt;0,+G17-K17,0)</f>
        <v>0</v>
      </c>
      <c r="M17" s="502">
        <f t="shared" ref="M17:M22" si="4">+H17</f>
        <v>4552779.1652027937</v>
      </c>
      <c r="N17" s="504">
        <f t="shared" ref="N17:N71" si="5">IF(M17&lt;&gt;0,+H17-M17,0)</f>
        <v>0</v>
      </c>
      <c r="O17" s="505">
        <f t="shared" ref="O17:O71" si="6">+N17-L17</f>
        <v>0</v>
      </c>
      <c r="P17" s="279"/>
    </row>
    <row r="18" spans="2:16" ht="12.5">
      <c r="B18" s="145" t="str">
        <f t="shared" si="0"/>
        <v/>
      </c>
      <c r="C18" s="496">
        <f>IF(D11="","-",+C17+1)</f>
        <v>2018</v>
      </c>
      <c r="D18" s="615">
        <v>82823000</v>
      </c>
      <c r="E18" s="614">
        <v>2031199.4497102054</v>
      </c>
      <c r="F18" s="615">
        <v>80791800.550289795</v>
      </c>
      <c r="G18" s="614">
        <v>10344766.031909464</v>
      </c>
      <c r="H18" s="618">
        <v>10344766.031909464</v>
      </c>
      <c r="I18" s="501">
        <f t="shared" si="1"/>
        <v>0</v>
      </c>
      <c r="J18" s="501"/>
      <c r="K18" s="593">
        <f t="shared" si="2"/>
        <v>10344766.031909464</v>
      </c>
      <c r="L18" s="597">
        <f t="shared" si="3"/>
        <v>0</v>
      </c>
      <c r="M18" s="593">
        <f t="shared" si="4"/>
        <v>10344766.031909464</v>
      </c>
      <c r="N18" s="505">
        <f t="shared" si="5"/>
        <v>0</v>
      </c>
      <c r="O18" s="505">
        <f t="shared" si="6"/>
        <v>0</v>
      </c>
      <c r="P18" s="279"/>
    </row>
    <row r="19" spans="2:16" ht="12.5">
      <c r="B19" s="145" t="str">
        <f t="shared" si="0"/>
        <v/>
      </c>
      <c r="C19" s="496">
        <f>IF(D11="","-",+C18+1)</f>
        <v>2019</v>
      </c>
      <c r="D19" s="615">
        <v>80791800.550289795</v>
      </c>
      <c r="E19" s="614">
        <v>2456434.6786346282</v>
      </c>
      <c r="F19" s="615">
        <v>78335365.871655166</v>
      </c>
      <c r="G19" s="614">
        <v>10725952.439931182</v>
      </c>
      <c r="H19" s="618">
        <v>10725952.439931182</v>
      </c>
      <c r="I19" s="501">
        <f t="shared" si="1"/>
        <v>0</v>
      </c>
      <c r="J19" s="501"/>
      <c r="K19" s="593">
        <f t="shared" si="2"/>
        <v>10725952.439931182</v>
      </c>
      <c r="L19" s="597">
        <f t="shared" ref="L19" si="7">IF(K19&lt;&gt;0,+G19-K19,0)</f>
        <v>0</v>
      </c>
      <c r="M19" s="593">
        <f t="shared" si="4"/>
        <v>10725952.439931182</v>
      </c>
      <c r="N19" s="505">
        <f t="shared" ref="N19" si="8">IF(M19&lt;&gt;0,+H19-M19,0)</f>
        <v>0</v>
      </c>
      <c r="O19" s="505">
        <f t="shared" ref="O19" si="9">+N19-L19</f>
        <v>0</v>
      </c>
      <c r="P19" s="279"/>
    </row>
    <row r="20" spans="2:16" ht="12.5">
      <c r="B20" s="145" t="str">
        <f t="shared" si="0"/>
        <v>IU</v>
      </c>
      <c r="C20" s="496">
        <f>IF(D11="","-",+C19+1)</f>
        <v>2020</v>
      </c>
      <c r="D20" s="615">
        <v>84194797.10057959</v>
      </c>
      <c r="E20" s="614">
        <v>2584327.8381604804</v>
      </c>
      <c r="F20" s="615">
        <v>81610469.262419105</v>
      </c>
      <c r="G20" s="614">
        <v>11283505.602105767</v>
      </c>
      <c r="H20" s="618">
        <v>11283505.602105767</v>
      </c>
      <c r="I20" s="501">
        <f t="shared" si="1"/>
        <v>0</v>
      </c>
      <c r="J20" s="501"/>
      <c r="K20" s="593">
        <f t="shared" si="2"/>
        <v>11283505.602105767</v>
      </c>
      <c r="L20" s="597">
        <f t="shared" ref="L20" si="10">IF(K20&lt;&gt;0,+G20-K20,0)</f>
        <v>0</v>
      </c>
      <c r="M20" s="593">
        <f t="shared" si="4"/>
        <v>11283505.602105767</v>
      </c>
      <c r="N20" s="505">
        <f t="shared" si="5"/>
        <v>0</v>
      </c>
      <c r="O20" s="505">
        <f t="shared" si="6"/>
        <v>0</v>
      </c>
      <c r="P20" s="279"/>
    </row>
    <row r="21" spans="2:16" ht="12.5">
      <c r="B21" s="145" t="str">
        <f t="shared" si="0"/>
        <v>IU</v>
      </c>
      <c r="C21" s="496">
        <f>IF(D11="","-",+C20+1)</f>
        <v>2021</v>
      </c>
      <c r="D21" s="615">
        <v>80497433.033494681</v>
      </c>
      <c r="E21" s="614">
        <v>2824819.1935483869</v>
      </c>
      <c r="F21" s="615">
        <v>77672613.8399463</v>
      </c>
      <c r="G21" s="614">
        <v>11380637.767430846</v>
      </c>
      <c r="H21" s="618">
        <v>11380637.767430846</v>
      </c>
      <c r="I21" s="501">
        <f t="shared" si="1"/>
        <v>0</v>
      </c>
      <c r="J21" s="501"/>
      <c r="K21" s="593">
        <f t="shared" si="2"/>
        <v>11380637.767430846</v>
      </c>
      <c r="L21" s="597">
        <f t="shared" ref="L21" si="11">IF(K21&lt;&gt;0,+G21-K21,0)</f>
        <v>0</v>
      </c>
      <c r="M21" s="593">
        <f t="shared" si="4"/>
        <v>11380637.767430846</v>
      </c>
      <c r="N21" s="505">
        <f t="shared" si="5"/>
        <v>0</v>
      </c>
      <c r="O21" s="505">
        <f t="shared" si="6"/>
        <v>0</v>
      </c>
      <c r="P21" s="279"/>
    </row>
    <row r="22" spans="2:16" ht="12.5">
      <c r="B22" s="145" t="str">
        <f t="shared" si="0"/>
        <v>IU</v>
      </c>
      <c r="C22" s="496">
        <f>IF(D11="","-",+C21+1)</f>
        <v>2022</v>
      </c>
      <c r="D22" s="615">
        <v>77782697.8399463</v>
      </c>
      <c r="E22" s="614">
        <v>2656953.9090909092</v>
      </c>
      <c r="F22" s="615">
        <v>75125743.930855393</v>
      </c>
      <c r="G22" s="614">
        <v>11430746.557201277</v>
      </c>
      <c r="H22" s="618">
        <v>11430746.557201277</v>
      </c>
      <c r="I22" s="501">
        <f t="shared" si="1"/>
        <v>0</v>
      </c>
      <c r="J22" s="501"/>
      <c r="K22" s="593">
        <f t="shared" si="2"/>
        <v>11430746.557201277</v>
      </c>
      <c r="L22" s="597">
        <f t="shared" ref="L22" si="12">IF(K22&lt;&gt;0,+G22-K22,0)</f>
        <v>0</v>
      </c>
      <c r="M22" s="593">
        <f t="shared" si="4"/>
        <v>11430746.557201277</v>
      </c>
      <c r="N22" s="505">
        <f t="shared" si="5"/>
        <v>0</v>
      </c>
      <c r="O22" s="505">
        <f t="shared" si="6"/>
        <v>0</v>
      </c>
      <c r="P22" s="279"/>
    </row>
    <row r="23" spans="2:16" ht="12.5">
      <c r="B23" s="145" t="str">
        <f t="shared" si="0"/>
        <v>IU</v>
      </c>
      <c r="C23" s="496">
        <f>IF(D11="","-",+C22+1)</f>
        <v>2023</v>
      </c>
      <c r="D23" s="615">
        <v>75125743.920855403</v>
      </c>
      <c r="E23" s="614">
        <v>2828370.2900000005</v>
      </c>
      <c r="F23" s="615">
        <v>72297373.630855396</v>
      </c>
      <c r="G23" s="614">
        <v>11160198.227597371</v>
      </c>
      <c r="H23" s="618">
        <v>11160198.227597371</v>
      </c>
      <c r="I23" s="501">
        <f t="shared" si="1"/>
        <v>0</v>
      </c>
      <c r="J23" s="501"/>
      <c r="K23" s="593">
        <f t="shared" ref="K23" si="13">+G23</f>
        <v>11160198.227597371</v>
      </c>
      <c r="L23" s="597">
        <f t="shared" ref="L23" si="14">IF(K23&lt;&gt;0,+G23-K23,0)</f>
        <v>0</v>
      </c>
      <c r="M23" s="593">
        <f t="shared" ref="M23" si="15">+H23</f>
        <v>11160198.227597371</v>
      </c>
      <c r="N23" s="505">
        <f t="shared" si="5"/>
        <v>0</v>
      </c>
      <c r="O23" s="505">
        <f t="shared" si="6"/>
        <v>0</v>
      </c>
      <c r="P23" s="279"/>
    </row>
    <row r="24" spans="2:16" ht="12.5">
      <c r="B24" s="145" t="str">
        <f t="shared" si="0"/>
        <v>IU</v>
      </c>
      <c r="C24" s="496">
        <f>IF(D11="","-",+C23+1)</f>
        <v>2024</v>
      </c>
      <c r="D24" s="509">
        <f>IF(F23+SUM(E$17:E23)=D$10,F23,D$10-SUM(E$17:E23))</f>
        <v>72778519.900855392</v>
      </c>
      <c r="E24" s="510">
        <f t="shared" ref="E24:E49" si="16">IF(+I$14&lt;F23,I$14,D24)</f>
        <v>2671534.0987878791</v>
      </c>
      <c r="F24" s="511">
        <f t="shared" ref="F24:F71" si="17">+D24-E24</f>
        <v>70106985.802067518</v>
      </c>
      <c r="G24" s="512">
        <f t="shared" ref="G24:G71" si="18">(D24+F24)/2*I$12+E24</f>
        <v>10870216.819895986</v>
      </c>
      <c r="H24" s="478">
        <f t="shared" ref="H24:H71" si="19">+(D24+F24)/2*I$13+E24</f>
        <v>10870216.819895986</v>
      </c>
      <c r="I24" s="501">
        <f t="shared" si="1"/>
        <v>0</v>
      </c>
      <c r="J24" s="501"/>
      <c r="K24" s="513"/>
      <c r="L24" s="505">
        <f t="shared" si="3"/>
        <v>0</v>
      </c>
      <c r="M24" s="513"/>
      <c r="N24" s="505">
        <f t="shared" si="5"/>
        <v>0</v>
      </c>
      <c r="O24" s="505">
        <f t="shared" si="6"/>
        <v>0</v>
      </c>
      <c r="P24" s="279"/>
    </row>
    <row r="25" spans="2:16" ht="12.5">
      <c r="B25" s="145" t="str">
        <f t="shared" si="0"/>
        <v/>
      </c>
      <c r="C25" s="496">
        <f>IF(D11="","-",+C24+1)</f>
        <v>2025</v>
      </c>
      <c r="D25" s="509">
        <f>IF(F24+SUM(E$17:E24)=D$10,F24,D$10-SUM(E$17:E24))</f>
        <v>70106985.802067518</v>
      </c>
      <c r="E25" s="510">
        <f t="shared" si="16"/>
        <v>2671534.0987878791</v>
      </c>
      <c r="F25" s="511">
        <f t="shared" si="17"/>
        <v>67435451.703279644</v>
      </c>
      <c r="G25" s="512">
        <f t="shared" si="18"/>
        <v>10563634.84229327</v>
      </c>
      <c r="H25" s="478">
        <f t="shared" si="19"/>
        <v>10563634.84229327</v>
      </c>
      <c r="I25" s="501">
        <f t="shared" si="1"/>
        <v>0</v>
      </c>
      <c r="J25" s="501"/>
      <c r="K25" s="513"/>
      <c r="L25" s="505">
        <f t="shared" si="3"/>
        <v>0</v>
      </c>
      <c r="M25" s="513"/>
      <c r="N25" s="505">
        <f t="shared" si="5"/>
        <v>0</v>
      </c>
      <c r="O25" s="505">
        <f t="shared" si="6"/>
        <v>0</v>
      </c>
      <c r="P25" s="279"/>
    </row>
    <row r="26" spans="2:16" ht="12.5">
      <c r="B26" s="145" t="str">
        <f t="shared" si="0"/>
        <v/>
      </c>
      <c r="C26" s="496">
        <f>IF(D11="","-",+C25+1)</f>
        <v>2026</v>
      </c>
      <c r="D26" s="509">
        <f>IF(F25+SUM(E$17:E25)=D$10,F25,D$10-SUM(E$17:E25))</f>
        <v>67435451.703279644</v>
      </c>
      <c r="E26" s="510">
        <f t="shared" si="16"/>
        <v>2671534.0987878791</v>
      </c>
      <c r="F26" s="511">
        <f t="shared" si="17"/>
        <v>64763917.604491763</v>
      </c>
      <c r="G26" s="512">
        <f t="shared" si="18"/>
        <v>10257052.864690552</v>
      </c>
      <c r="H26" s="478">
        <f t="shared" si="19"/>
        <v>10257052.864690552</v>
      </c>
      <c r="I26" s="501">
        <f t="shared" si="1"/>
        <v>0</v>
      </c>
      <c r="J26" s="501"/>
      <c r="K26" s="513"/>
      <c r="L26" s="505">
        <f t="shared" si="3"/>
        <v>0</v>
      </c>
      <c r="M26" s="513"/>
      <c r="N26" s="505">
        <f t="shared" si="5"/>
        <v>0</v>
      </c>
      <c r="O26" s="505">
        <f t="shared" si="6"/>
        <v>0</v>
      </c>
      <c r="P26" s="279"/>
    </row>
    <row r="27" spans="2:16" ht="12.5">
      <c r="B27" s="145" t="str">
        <f t="shared" si="0"/>
        <v/>
      </c>
      <c r="C27" s="496">
        <f>IF(D11="","-",+C26+1)</f>
        <v>2027</v>
      </c>
      <c r="D27" s="509">
        <f>IF(F26+SUM(E$17:E26)=D$10,F26,D$10-SUM(E$17:E26))</f>
        <v>64763917.604491763</v>
      </c>
      <c r="E27" s="510">
        <f t="shared" si="16"/>
        <v>2671534.0987878791</v>
      </c>
      <c r="F27" s="511">
        <f t="shared" si="17"/>
        <v>62092383.505703881</v>
      </c>
      <c r="G27" s="512">
        <f t="shared" si="18"/>
        <v>9950470.8870878313</v>
      </c>
      <c r="H27" s="478">
        <f t="shared" si="19"/>
        <v>9950470.8870878313</v>
      </c>
      <c r="I27" s="501">
        <f t="shared" si="1"/>
        <v>0</v>
      </c>
      <c r="J27" s="501"/>
      <c r="K27" s="513"/>
      <c r="L27" s="505">
        <f t="shared" si="3"/>
        <v>0</v>
      </c>
      <c r="M27" s="513"/>
      <c r="N27" s="505">
        <f t="shared" si="5"/>
        <v>0</v>
      </c>
      <c r="O27" s="505">
        <f t="shared" si="6"/>
        <v>0</v>
      </c>
      <c r="P27" s="279"/>
    </row>
    <row r="28" spans="2:16" ht="12.5">
      <c r="B28" s="145" t="str">
        <f t="shared" si="0"/>
        <v/>
      </c>
      <c r="C28" s="496">
        <f>IF(D11="","-",+C27+1)</f>
        <v>2028</v>
      </c>
      <c r="D28" s="509">
        <f>IF(F27+SUM(E$17:E27)=D$10,F27,D$10-SUM(E$17:E27))</f>
        <v>62092383.505703881</v>
      </c>
      <c r="E28" s="510">
        <f t="shared" si="16"/>
        <v>2671534.0987878791</v>
      </c>
      <c r="F28" s="511">
        <f t="shared" si="17"/>
        <v>59420849.406916</v>
      </c>
      <c r="G28" s="512">
        <f t="shared" si="18"/>
        <v>9643888.9094851147</v>
      </c>
      <c r="H28" s="478">
        <f t="shared" si="19"/>
        <v>9643888.9094851147</v>
      </c>
      <c r="I28" s="501">
        <f t="shared" si="1"/>
        <v>0</v>
      </c>
      <c r="J28" s="501"/>
      <c r="K28" s="513"/>
      <c r="L28" s="505">
        <f t="shared" si="3"/>
        <v>0</v>
      </c>
      <c r="M28" s="513"/>
      <c r="N28" s="505">
        <f t="shared" si="5"/>
        <v>0</v>
      </c>
      <c r="O28" s="505">
        <f t="shared" si="6"/>
        <v>0</v>
      </c>
      <c r="P28" s="279"/>
    </row>
    <row r="29" spans="2:16" ht="12.5">
      <c r="B29" s="145" t="str">
        <f t="shared" si="0"/>
        <v/>
      </c>
      <c r="C29" s="496">
        <f>IF(D11="","-",+C28+1)</f>
        <v>2029</v>
      </c>
      <c r="D29" s="509">
        <f>IF(F28+SUM(E$17:E28)=D$10,F28,D$10-SUM(E$17:E28))</f>
        <v>59420849.406916</v>
      </c>
      <c r="E29" s="510">
        <f t="shared" si="16"/>
        <v>2671534.0987878791</v>
      </c>
      <c r="F29" s="511">
        <f t="shared" si="17"/>
        <v>56749315.308128119</v>
      </c>
      <c r="G29" s="512">
        <f t="shared" si="18"/>
        <v>9337306.9318823945</v>
      </c>
      <c r="H29" s="478">
        <f t="shared" si="19"/>
        <v>9337306.9318823945</v>
      </c>
      <c r="I29" s="501">
        <f t="shared" si="1"/>
        <v>0</v>
      </c>
      <c r="J29" s="501"/>
      <c r="K29" s="513"/>
      <c r="L29" s="505">
        <f t="shared" si="3"/>
        <v>0</v>
      </c>
      <c r="M29" s="513"/>
      <c r="N29" s="505">
        <f t="shared" si="5"/>
        <v>0</v>
      </c>
      <c r="O29" s="505">
        <f t="shared" si="6"/>
        <v>0</v>
      </c>
      <c r="P29" s="279"/>
    </row>
    <row r="30" spans="2:16" ht="12.5">
      <c r="B30" s="145" t="str">
        <f t="shared" si="0"/>
        <v/>
      </c>
      <c r="C30" s="496">
        <f>IF(D11="","-",+C29+1)</f>
        <v>2030</v>
      </c>
      <c r="D30" s="509">
        <f>IF(F29+SUM(E$17:E29)=D$10,F29,D$10-SUM(E$17:E29))</f>
        <v>56749315.308128119</v>
      </c>
      <c r="E30" s="510">
        <f t="shared" si="16"/>
        <v>2671534.0987878791</v>
      </c>
      <c r="F30" s="511">
        <f t="shared" si="17"/>
        <v>54077781.209340237</v>
      </c>
      <c r="G30" s="512">
        <f t="shared" si="18"/>
        <v>9030724.9542796761</v>
      </c>
      <c r="H30" s="478">
        <f t="shared" si="19"/>
        <v>9030724.9542796761</v>
      </c>
      <c r="I30" s="501">
        <f t="shared" si="1"/>
        <v>0</v>
      </c>
      <c r="J30" s="501"/>
      <c r="K30" s="513"/>
      <c r="L30" s="505">
        <f t="shared" si="3"/>
        <v>0</v>
      </c>
      <c r="M30" s="513"/>
      <c r="N30" s="505">
        <f t="shared" si="5"/>
        <v>0</v>
      </c>
      <c r="O30" s="505">
        <f t="shared" si="6"/>
        <v>0</v>
      </c>
      <c r="P30" s="279"/>
    </row>
    <row r="31" spans="2:16" ht="12.5">
      <c r="B31" s="145" t="str">
        <f t="shared" si="0"/>
        <v/>
      </c>
      <c r="C31" s="496">
        <f>IF(D11="","-",+C30+1)</f>
        <v>2031</v>
      </c>
      <c r="D31" s="509">
        <f>IF(F30+SUM(E$17:E30)=D$10,F30,D$10-SUM(E$17:E30))</f>
        <v>54077781.209340237</v>
      </c>
      <c r="E31" s="510">
        <f t="shared" si="16"/>
        <v>2671534.0987878791</v>
      </c>
      <c r="F31" s="511">
        <f t="shared" si="17"/>
        <v>51406247.110552356</v>
      </c>
      <c r="G31" s="512">
        <f t="shared" si="18"/>
        <v>8724142.9766769577</v>
      </c>
      <c r="H31" s="478">
        <f t="shared" si="19"/>
        <v>8724142.9766769577</v>
      </c>
      <c r="I31" s="501">
        <f t="shared" si="1"/>
        <v>0</v>
      </c>
      <c r="J31" s="501"/>
      <c r="K31" s="513"/>
      <c r="L31" s="505">
        <f t="shared" si="3"/>
        <v>0</v>
      </c>
      <c r="M31" s="513"/>
      <c r="N31" s="505">
        <f t="shared" si="5"/>
        <v>0</v>
      </c>
      <c r="O31" s="505">
        <f t="shared" si="6"/>
        <v>0</v>
      </c>
      <c r="P31" s="279"/>
    </row>
    <row r="32" spans="2:16" ht="12.5">
      <c r="B32" s="145" t="str">
        <f t="shared" si="0"/>
        <v/>
      </c>
      <c r="C32" s="496">
        <f>IF(D11="","-",+C31+1)</f>
        <v>2032</v>
      </c>
      <c r="D32" s="509">
        <f>IF(F31+SUM(E$17:E31)=D$10,F31,D$10-SUM(E$17:E31))</f>
        <v>51406247.110552356</v>
      </c>
      <c r="E32" s="510">
        <f t="shared" si="16"/>
        <v>2671534.0987878791</v>
      </c>
      <c r="F32" s="511">
        <f t="shared" si="17"/>
        <v>48734713.011764474</v>
      </c>
      <c r="G32" s="512">
        <f t="shared" si="18"/>
        <v>8417560.9990742393</v>
      </c>
      <c r="H32" s="478">
        <f t="shared" si="19"/>
        <v>8417560.9990742393</v>
      </c>
      <c r="I32" s="501">
        <f t="shared" si="1"/>
        <v>0</v>
      </c>
      <c r="J32" s="501"/>
      <c r="K32" s="513"/>
      <c r="L32" s="505">
        <f t="shared" si="3"/>
        <v>0</v>
      </c>
      <c r="M32" s="513"/>
      <c r="N32" s="505">
        <f t="shared" si="5"/>
        <v>0</v>
      </c>
      <c r="O32" s="505">
        <f t="shared" si="6"/>
        <v>0</v>
      </c>
      <c r="P32" s="279"/>
    </row>
    <row r="33" spans="2:16" ht="12.5">
      <c r="B33" s="145" t="str">
        <f t="shared" si="0"/>
        <v/>
      </c>
      <c r="C33" s="496">
        <f>IF(D11="","-",+C32+1)</f>
        <v>2033</v>
      </c>
      <c r="D33" s="509">
        <f>IF(F32+SUM(E$17:E32)=D$10,F32,D$10-SUM(E$17:E32))</f>
        <v>48734713.011764474</v>
      </c>
      <c r="E33" s="510">
        <f t="shared" si="16"/>
        <v>2671534.0987878791</v>
      </c>
      <c r="F33" s="511">
        <f t="shared" si="17"/>
        <v>46063178.912976593</v>
      </c>
      <c r="G33" s="512">
        <f t="shared" si="18"/>
        <v>8110979.021471519</v>
      </c>
      <c r="H33" s="478">
        <f t="shared" si="19"/>
        <v>8110979.021471519</v>
      </c>
      <c r="I33" s="501">
        <f t="shared" si="1"/>
        <v>0</v>
      </c>
      <c r="J33" s="501"/>
      <c r="K33" s="513"/>
      <c r="L33" s="505">
        <f t="shared" si="3"/>
        <v>0</v>
      </c>
      <c r="M33" s="513"/>
      <c r="N33" s="505">
        <f t="shared" si="5"/>
        <v>0</v>
      </c>
      <c r="O33" s="505">
        <f t="shared" si="6"/>
        <v>0</v>
      </c>
      <c r="P33" s="279"/>
    </row>
    <row r="34" spans="2:16" ht="12.5">
      <c r="B34" s="145" t="str">
        <f t="shared" si="0"/>
        <v/>
      </c>
      <c r="C34" s="496">
        <f>IF(D11="","-",+C33+1)</f>
        <v>2034</v>
      </c>
      <c r="D34" s="509">
        <f>IF(F33+SUM(E$17:E33)=D$10,F33,D$10-SUM(E$17:E33))</f>
        <v>46063178.912976593</v>
      </c>
      <c r="E34" s="510">
        <f t="shared" si="16"/>
        <v>2671534.0987878791</v>
      </c>
      <c r="F34" s="511">
        <f t="shared" si="17"/>
        <v>43391644.814188711</v>
      </c>
      <c r="G34" s="512">
        <f t="shared" si="18"/>
        <v>7804397.0438688025</v>
      </c>
      <c r="H34" s="478">
        <f t="shared" si="19"/>
        <v>7804397.0438688025</v>
      </c>
      <c r="I34" s="501">
        <f t="shared" si="1"/>
        <v>0</v>
      </c>
      <c r="J34" s="501"/>
      <c r="K34" s="513"/>
      <c r="L34" s="505">
        <f t="shared" si="3"/>
        <v>0</v>
      </c>
      <c r="M34" s="513"/>
      <c r="N34" s="505">
        <f t="shared" si="5"/>
        <v>0</v>
      </c>
      <c r="O34" s="505">
        <f t="shared" si="6"/>
        <v>0</v>
      </c>
      <c r="P34" s="279"/>
    </row>
    <row r="35" spans="2:16" ht="12.5">
      <c r="B35" s="145" t="str">
        <f t="shared" si="0"/>
        <v/>
      </c>
      <c r="C35" s="496">
        <f>IF(D11="","-",+C34+1)</f>
        <v>2035</v>
      </c>
      <c r="D35" s="509">
        <f>IF(F34+SUM(E$17:E34)=D$10,F34,D$10-SUM(E$17:E34))</f>
        <v>43391644.814188711</v>
      </c>
      <c r="E35" s="510">
        <f t="shared" si="16"/>
        <v>2671534.0987878791</v>
      </c>
      <c r="F35" s="511">
        <f t="shared" si="17"/>
        <v>40720110.71540083</v>
      </c>
      <c r="G35" s="512">
        <f t="shared" si="18"/>
        <v>7497815.0662660822</v>
      </c>
      <c r="H35" s="478">
        <f t="shared" si="19"/>
        <v>7497815.0662660822</v>
      </c>
      <c r="I35" s="501">
        <f t="shared" si="1"/>
        <v>0</v>
      </c>
      <c r="J35" s="501"/>
      <c r="K35" s="513"/>
      <c r="L35" s="505">
        <f t="shared" si="3"/>
        <v>0</v>
      </c>
      <c r="M35" s="513"/>
      <c r="N35" s="505">
        <f t="shared" si="5"/>
        <v>0</v>
      </c>
      <c r="O35" s="505">
        <f t="shared" si="6"/>
        <v>0</v>
      </c>
      <c r="P35" s="279"/>
    </row>
    <row r="36" spans="2:16" ht="12.5">
      <c r="B36" s="145" t="str">
        <f t="shared" si="0"/>
        <v/>
      </c>
      <c r="C36" s="496">
        <f>IF(D11="","-",+C35+1)</f>
        <v>2036</v>
      </c>
      <c r="D36" s="509">
        <f>IF(F35+SUM(E$17:E35)=D$10,F35,D$10-SUM(E$17:E35))</f>
        <v>40720110.71540083</v>
      </c>
      <c r="E36" s="510">
        <f t="shared" si="16"/>
        <v>2671534.0987878791</v>
      </c>
      <c r="F36" s="511">
        <f t="shared" si="17"/>
        <v>38048576.616612948</v>
      </c>
      <c r="G36" s="512">
        <f t="shared" si="18"/>
        <v>7191233.0886633638</v>
      </c>
      <c r="H36" s="478">
        <f t="shared" si="19"/>
        <v>7191233.0886633638</v>
      </c>
      <c r="I36" s="501">
        <f t="shared" si="1"/>
        <v>0</v>
      </c>
      <c r="J36" s="501"/>
      <c r="K36" s="513"/>
      <c r="L36" s="505">
        <f t="shared" si="3"/>
        <v>0</v>
      </c>
      <c r="M36" s="513"/>
      <c r="N36" s="505">
        <f t="shared" si="5"/>
        <v>0</v>
      </c>
      <c r="O36" s="505">
        <f t="shared" si="6"/>
        <v>0</v>
      </c>
      <c r="P36" s="279"/>
    </row>
    <row r="37" spans="2:16" ht="12.5">
      <c r="B37" s="145" t="str">
        <f t="shared" si="0"/>
        <v/>
      </c>
      <c r="C37" s="496">
        <f>IF(D11="","-",+C36+1)</f>
        <v>2037</v>
      </c>
      <c r="D37" s="509">
        <f>IF(F36+SUM(E$17:E36)=D$10,F36,D$10-SUM(E$17:E36))</f>
        <v>38048576.616612948</v>
      </c>
      <c r="E37" s="510">
        <f t="shared" si="16"/>
        <v>2671534.0987878791</v>
      </c>
      <c r="F37" s="511">
        <f t="shared" si="17"/>
        <v>35377042.517825067</v>
      </c>
      <c r="G37" s="512">
        <f t="shared" si="18"/>
        <v>6884651.1110606454</v>
      </c>
      <c r="H37" s="478">
        <f t="shared" si="19"/>
        <v>6884651.1110606454</v>
      </c>
      <c r="I37" s="501">
        <f t="shared" si="1"/>
        <v>0</v>
      </c>
      <c r="J37" s="501"/>
      <c r="K37" s="513"/>
      <c r="L37" s="505">
        <f t="shared" si="3"/>
        <v>0</v>
      </c>
      <c r="M37" s="513"/>
      <c r="N37" s="505">
        <f t="shared" si="5"/>
        <v>0</v>
      </c>
      <c r="O37" s="505">
        <f t="shared" si="6"/>
        <v>0</v>
      </c>
      <c r="P37" s="279"/>
    </row>
    <row r="38" spans="2:16" ht="12.5">
      <c r="B38" s="145" t="str">
        <f t="shared" si="0"/>
        <v/>
      </c>
      <c r="C38" s="496">
        <f>IF(D11="","-",+C37+1)</f>
        <v>2038</v>
      </c>
      <c r="D38" s="509">
        <f>IF(F37+SUM(E$17:E37)=D$10,F37,D$10-SUM(E$17:E37))</f>
        <v>35377042.517825067</v>
      </c>
      <c r="E38" s="510">
        <f t="shared" si="16"/>
        <v>2671534.0987878791</v>
      </c>
      <c r="F38" s="511">
        <f t="shared" si="17"/>
        <v>32705508.419037189</v>
      </c>
      <c r="G38" s="512">
        <f t="shared" si="18"/>
        <v>6578069.133457927</v>
      </c>
      <c r="H38" s="478">
        <f t="shared" si="19"/>
        <v>6578069.133457927</v>
      </c>
      <c r="I38" s="501">
        <f t="shared" si="1"/>
        <v>0</v>
      </c>
      <c r="J38" s="501"/>
      <c r="K38" s="513"/>
      <c r="L38" s="505">
        <f t="shared" si="3"/>
        <v>0</v>
      </c>
      <c r="M38" s="513"/>
      <c r="N38" s="505">
        <f t="shared" si="5"/>
        <v>0</v>
      </c>
      <c r="O38" s="505">
        <f t="shared" si="6"/>
        <v>0</v>
      </c>
      <c r="P38" s="279"/>
    </row>
    <row r="39" spans="2:16" ht="12.5">
      <c r="B39" s="145" t="str">
        <f t="shared" si="0"/>
        <v/>
      </c>
      <c r="C39" s="496">
        <f>IF(D11="","-",+C38+1)</f>
        <v>2039</v>
      </c>
      <c r="D39" s="509">
        <f>IF(F38+SUM(E$17:E38)=D$10,F38,D$10-SUM(E$17:E38))</f>
        <v>32705508.419037189</v>
      </c>
      <c r="E39" s="510">
        <f t="shared" si="16"/>
        <v>2671534.0987878791</v>
      </c>
      <c r="F39" s="511">
        <f t="shared" si="17"/>
        <v>30033974.320249312</v>
      </c>
      <c r="G39" s="512">
        <f t="shared" si="18"/>
        <v>6271487.1558552086</v>
      </c>
      <c r="H39" s="478">
        <f t="shared" si="19"/>
        <v>6271487.1558552086</v>
      </c>
      <c r="I39" s="501">
        <f t="shared" si="1"/>
        <v>0</v>
      </c>
      <c r="J39" s="501"/>
      <c r="K39" s="513"/>
      <c r="L39" s="505">
        <f t="shared" si="3"/>
        <v>0</v>
      </c>
      <c r="M39" s="513"/>
      <c r="N39" s="505">
        <f t="shared" si="5"/>
        <v>0</v>
      </c>
      <c r="O39" s="505">
        <f t="shared" si="6"/>
        <v>0</v>
      </c>
      <c r="P39" s="279"/>
    </row>
    <row r="40" spans="2:16" ht="12.5">
      <c r="B40" s="145" t="str">
        <f t="shared" si="0"/>
        <v/>
      </c>
      <c r="C40" s="496">
        <f>IF(D11="","-",+C39+1)</f>
        <v>2040</v>
      </c>
      <c r="D40" s="509">
        <f>IF(F39+SUM(E$17:E39)=D$10,F39,D$10-SUM(E$17:E39))</f>
        <v>30033974.320249312</v>
      </c>
      <c r="E40" s="510">
        <f t="shared" si="16"/>
        <v>2671534.0987878791</v>
      </c>
      <c r="F40" s="511">
        <f t="shared" si="17"/>
        <v>27362440.221461434</v>
      </c>
      <c r="G40" s="512">
        <f t="shared" si="18"/>
        <v>5964905.1782524902</v>
      </c>
      <c r="H40" s="478">
        <f t="shared" si="19"/>
        <v>5964905.1782524902</v>
      </c>
      <c r="I40" s="501">
        <f t="shared" si="1"/>
        <v>0</v>
      </c>
      <c r="J40" s="501"/>
      <c r="K40" s="513"/>
      <c r="L40" s="505">
        <f t="shared" si="3"/>
        <v>0</v>
      </c>
      <c r="M40" s="513"/>
      <c r="N40" s="505">
        <f t="shared" si="5"/>
        <v>0</v>
      </c>
      <c r="O40" s="505">
        <f t="shared" si="6"/>
        <v>0</v>
      </c>
      <c r="P40" s="279"/>
    </row>
    <row r="41" spans="2:16" ht="12.5">
      <c r="B41" s="145" t="str">
        <f t="shared" si="0"/>
        <v/>
      </c>
      <c r="C41" s="496">
        <f>IF(D11="","-",+C40+1)</f>
        <v>2041</v>
      </c>
      <c r="D41" s="509">
        <f>IF(F40+SUM(E$17:E40)=D$10,F40,D$10-SUM(E$17:E40))</f>
        <v>27362440.221461434</v>
      </c>
      <c r="E41" s="510">
        <f t="shared" si="16"/>
        <v>2671534.0987878791</v>
      </c>
      <c r="F41" s="511">
        <f t="shared" si="17"/>
        <v>24690906.122673556</v>
      </c>
      <c r="G41" s="512">
        <f t="shared" si="18"/>
        <v>5658323.2006497718</v>
      </c>
      <c r="H41" s="478">
        <f t="shared" si="19"/>
        <v>5658323.2006497718</v>
      </c>
      <c r="I41" s="501">
        <f t="shared" si="1"/>
        <v>0</v>
      </c>
      <c r="J41" s="501"/>
      <c r="K41" s="513"/>
      <c r="L41" s="505">
        <f t="shared" si="3"/>
        <v>0</v>
      </c>
      <c r="M41" s="513"/>
      <c r="N41" s="505">
        <f t="shared" si="5"/>
        <v>0</v>
      </c>
      <c r="O41" s="505">
        <f t="shared" si="6"/>
        <v>0</v>
      </c>
      <c r="P41" s="279"/>
    </row>
    <row r="42" spans="2:16" ht="12.5">
      <c r="B42" s="145" t="str">
        <f t="shared" si="0"/>
        <v/>
      </c>
      <c r="C42" s="496">
        <f>IF(D11="","-",+C41+1)</f>
        <v>2042</v>
      </c>
      <c r="D42" s="509">
        <f>IF(F41+SUM(E$17:E41)=D$10,F41,D$10-SUM(E$17:E41))</f>
        <v>24690906.122673556</v>
      </c>
      <c r="E42" s="510">
        <f t="shared" si="16"/>
        <v>2671534.0987878791</v>
      </c>
      <c r="F42" s="511">
        <f t="shared" si="17"/>
        <v>22019372.023885678</v>
      </c>
      <c r="G42" s="512">
        <f t="shared" si="18"/>
        <v>5351741.2230470534</v>
      </c>
      <c r="H42" s="478">
        <f t="shared" si="19"/>
        <v>5351741.2230470534</v>
      </c>
      <c r="I42" s="501">
        <f t="shared" si="1"/>
        <v>0</v>
      </c>
      <c r="J42" s="501"/>
      <c r="K42" s="513"/>
      <c r="L42" s="505">
        <f t="shared" si="3"/>
        <v>0</v>
      </c>
      <c r="M42" s="513"/>
      <c r="N42" s="505">
        <f t="shared" si="5"/>
        <v>0</v>
      </c>
      <c r="O42" s="505">
        <f t="shared" si="6"/>
        <v>0</v>
      </c>
      <c r="P42" s="279"/>
    </row>
    <row r="43" spans="2:16" ht="12.5">
      <c r="B43" s="145" t="str">
        <f t="shared" si="0"/>
        <v/>
      </c>
      <c r="C43" s="496">
        <f>IF(D11="","-",+C42+1)</f>
        <v>2043</v>
      </c>
      <c r="D43" s="509">
        <f>IF(F42+SUM(E$17:E42)=D$10,F42,D$10-SUM(E$17:E42))</f>
        <v>22019372.023885678</v>
      </c>
      <c r="E43" s="510">
        <f t="shared" si="16"/>
        <v>2671534.0987878791</v>
      </c>
      <c r="F43" s="511">
        <f t="shared" si="17"/>
        <v>19347837.925097801</v>
      </c>
      <c r="G43" s="512">
        <f t="shared" si="18"/>
        <v>5045159.245444335</v>
      </c>
      <c r="H43" s="478">
        <f t="shared" si="19"/>
        <v>5045159.245444335</v>
      </c>
      <c r="I43" s="501">
        <f t="shared" si="1"/>
        <v>0</v>
      </c>
      <c r="J43" s="501"/>
      <c r="K43" s="513"/>
      <c r="L43" s="505">
        <f t="shared" si="3"/>
        <v>0</v>
      </c>
      <c r="M43" s="513"/>
      <c r="N43" s="505">
        <f t="shared" si="5"/>
        <v>0</v>
      </c>
      <c r="O43" s="505">
        <f t="shared" si="6"/>
        <v>0</v>
      </c>
      <c r="P43" s="279"/>
    </row>
    <row r="44" spans="2:16" ht="12.5">
      <c r="B44" s="145" t="str">
        <f t="shared" si="0"/>
        <v/>
      </c>
      <c r="C44" s="496">
        <f>IF(D11="","-",+C43+1)</f>
        <v>2044</v>
      </c>
      <c r="D44" s="509">
        <f>IF(F43+SUM(E$17:E43)=D$10,F43,D$10-SUM(E$17:E43))</f>
        <v>19347837.925097801</v>
      </c>
      <c r="E44" s="510">
        <f t="shared" si="16"/>
        <v>2671534.0987878791</v>
      </c>
      <c r="F44" s="511">
        <f t="shared" si="17"/>
        <v>16676303.826309921</v>
      </c>
      <c r="G44" s="512">
        <f t="shared" si="18"/>
        <v>4738577.2678416166</v>
      </c>
      <c r="H44" s="478">
        <f t="shared" si="19"/>
        <v>4738577.2678416166</v>
      </c>
      <c r="I44" s="501">
        <f t="shared" si="1"/>
        <v>0</v>
      </c>
      <c r="J44" s="501"/>
      <c r="K44" s="513"/>
      <c r="L44" s="505">
        <f t="shared" si="3"/>
        <v>0</v>
      </c>
      <c r="M44" s="513"/>
      <c r="N44" s="505">
        <f t="shared" si="5"/>
        <v>0</v>
      </c>
      <c r="O44" s="505">
        <f t="shared" si="6"/>
        <v>0</v>
      </c>
      <c r="P44" s="279"/>
    </row>
    <row r="45" spans="2:16" ht="12.5">
      <c r="B45" s="145" t="str">
        <f t="shared" si="0"/>
        <v/>
      </c>
      <c r="C45" s="496">
        <f>IF(D11="","-",+C44+1)</f>
        <v>2045</v>
      </c>
      <c r="D45" s="509">
        <f>IF(F44+SUM(E$17:E44)=D$10,F44,D$10-SUM(E$17:E44))</f>
        <v>16676303.826309921</v>
      </c>
      <c r="E45" s="510">
        <f t="shared" si="16"/>
        <v>2671534.0987878791</v>
      </c>
      <c r="F45" s="511">
        <f t="shared" si="17"/>
        <v>14004769.727522042</v>
      </c>
      <c r="G45" s="512">
        <f t="shared" si="18"/>
        <v>4431995.2902388982</v>
      </c>
      <c r="H45" s="478">
        <f t="shared" si="19"/>
        <v>4431995.2902388982</v>
      </c>
      <c r="I45" s="501">
        <f t="shared" si="1"/>
        <v>0</v>
      </c>
      <c r="J45" s="501"/>
      <c r="K45" s="513"/>
      <c r="L45" s="505">
        <f t="shared" si="3"/>
        <v>0</v>
      </c>
      <c r="M45" s="513"/>
      <c r="N45" s="505">
        <f t="shared" si="5"/>
        <v>0</v>
      </c>
      <c r="O45" s="505">
        <f t="shared" si="6"/>
        <v>0</v>
      </c>
      <c r="P45" s="279"/>
    </row>
    <row r="46" spans="2:16" ht="12.5">
      <c r="B46" s="145" t="str">
        <f t="shared" si="0"/>
        <v/>
      </c>
      <c r="C46" s="496">
        <f>IF(D11="","-",+C45+1)</f>
        <v>2046</v>
      </c>
      <c r="D46" s="509">
        <f>IF(F45+SUM(E$17:E45)=D$10,F45,D$10-SUM(E$17:E45))</f>
        <v>14004769.727522042</v>
      </c>
      <c r="E46" s="510">
        <f t="shared" si="16"/>
        <v>2671534.0987878791</v>
      </c>
      <c r="F46" s="511">
        <f t="shared" si="17"/>
        <v>11333235.628734162</v>
      </c>
      <c r="G46" s="512">
        <f t="shared" si="18"/>
        <v>4125413.3126361798</v>
      </c>
      <c r="H46" s="478">
        <f t="shared" si="19"/>
        <v>4125413.3126361798</v>
      </c>
      <c r="I46" s="501">
        <f t="shared" si="1"/>
        <v>0</v>
      </c>
      <c r="J46" s="501"/>
      <c r="K46" s="513"/>
      <c r="L46" s="505">
        <f t="shared" si="3"/>
        <v>0</v>
      </c>
      <c r="M46" s="513"/>
      <c r="N46" s="505">
        <f t="shared" si="5"/>
        <v>0</v>
      </c>
      <c r="O46" s="505">
        <f t="shared" si="6"/>
        <v>0</v>
      </c>
      <c r="P46" s="279"/>
    </row>
    <row r="47" spans="2:16" ht="12.5">
      <c r="B47" s="145" t="str">
        <f t="shared" si="0"/>
        <v/>
      </c>
      <c r="C47" s="496">
        <f>IF(D11="","-",+C46+1)</f>
        <v>2047</v>
      </c>
      <c r="D47" s="509">
        <f>IF(F46+SUM(E$17:E46)=D$10,F46,D$10-SUM(E$17:E46))</f>
        <v>11333235.628734162</v>
      </c>
      <c r="E47" s="510">
        <f t="shared" si="16"/>
        <v>2671534.0987878791</v>
      </c>
      <c r="F47" s="511">
        <f t="shared" si="17"/>
        <v>8661701.5299462825</v>
      </c>
      <c r="G47" s="512">
        <f t="shared" si="18"/>
        <v>3818831.3350334615</v>
      </c>
      <c r="H47" s="478">
        <f t="shared" si="19"/>
        <v>3818831.3350334615</v>
      </c>
      <c r="I47" s="501">
        <f t="shared" si="1"/>
        <v>0</v>
      </c>
      <c r="J47" s="501"/>
      <c r="K47" s="513"/>
      <c r="L47" s="505">
        <f t="shared" si="3"/>
        <v>0</v>
      </c>
      <c r="M47" s="513"/>
      <c r="N47" s="505">
        <f t="shared" si="5"/>
        <v>0</v>
      </c>
      <c r="O47" s="505">
        <f t="shared" si="6"/>
        <v>0</v>
      </c>
      <c r="P47" s="279"/>
    </row>
    <row r="48" spans="2:16" ht="12.5">
      <c r="B48" s="145" t="str">
        <f t="shared" si="0"/>
        <v/>
      </c>
      <c r="C48" s="496">
        <f>IF(D11="","-",+C47+1)</f>
        <v>2048</v>
      </c>
      <c r="D48" s="509">
        <f>IF(F47+SUM(E$17:E47)=D$10,F47,D$10-SUM(E$17:E47))</f>
        <v>8661701.5299462825</v>
      </c>
      <c r="E48" s="510">
        <f t="shared" si="16"/>
        <v>2671534.0987878791</v>
      </c>
      <c r="F48" s="511">
        <f t="shared" si="17"/>
        <v>5990167.4311584029</v>
      </c>
      <c r="G48" s="512">
        <f t="shared" si="18"/>
        <v>3512249.3574307426</v>
      </c>
      <c r="H48" s="478">
        <f t="shared" si="19"/>
        <v>3512249.3574307426</v>
      </c>
      <c r="I48" s="501">
        <f t="shared" si="1"/>
        <v>0</v>
      </c>
      <c r="J48" s="501"/>
      <c r="K48" s="513"/>
      <c r="L48" s="505">
        <f t="shared" si="3"/>
        <v>0</v>
      </c>
      <c r="M48" s="513"/>
      <c r="N48" s="505">
        <f t="shared" si="5"/>
        <v>0</v>
      </c>
      <c r="O48" s="505">
        <f t="shared" si="6"/>
        <v>0</v>
      </c>
      <c r="P48" s="279"/>
    </row>
    <row r="49" spans="2:16" ht="12.5">
      <c r="B49" s="145" t="str">
        <f t="shared" si="0"/>
        <v/>
      </c>
      <c r="C49" s="496">
        <f>IF(D11="","-",+C48+1)</f>
        <v>2049</v>
      </c>
      <c r="D49" s="509">
        <f>IF(F48+SUM(E$17:E48)=D$10,F48,D$10-SUM(E$17:E48))</f>
        <v>5990167.4311584029</v>
      </c>
      <c r="E49" s="510">
        <f t="shared" si="16"/>
        <v>2671534.0987878791</v>
      </c>
      <c r="F49" s="511">
        <f t="shared" si="17"/>
        <v>3318633.3323705238</v>
      </c>
      <c r="G49" s="512">
        <f t="shared" si="18"/>
        <v>3205667.3798280242</v>
      </c>
      <c r="H49" s="478">
        <f t="shared" si="19"/>
        <v>3205667.3798280242</v>
      </c>
      <c r="I49" s="501">
        <f t="shared" si="1"/>
        <v>0</v>
      </c>
      <c r="J49" s="501"/>
      <c r="K49" s="513"/>
      <c r="L49" s="505">
        <f t="shared" si="3"/>
        <v>0</v>
      </c>
      <c r="M49" s="513"/>
      <c r="N49" s="505">
        <f t="shared" si="5"/>
        <v>0</v>
      </c>
      <c r="O49" s="505">
        <f t="shared" si="6"/>
        <v>0</v>
      </c>
      <c r="P49" s="279"/>
    </row>
    <row r="50" spans="2:16" ht="12.5">
      <c r="B50" s="145" t="str">
        <f t="shared" si="0"/>
        <v/>
      </c>
      <c r="C50" s="496">
        <f>IF(D11="","-",+C49+1)</f>
        <v>2050</v>
      </c>
      <c r="D50" s="509">
        <f>IF(F49+SUM(E$17:E49)=D$10,F49,D$10-SUM(E$17:E49))</f>
        <v>3318633.3323705238</v>
      </c>
      <c r="E50" s="510">
        <f t="shared" ref="E50:E71" si="20">IF(+I$14&lt;F49,I$14,D50)</f>
        <v>2671534.0987878791</v>
      </c>
      <c r="F50" s="511">
        <f t="shared" si="17"/>
        <v>647099.23358264472</v>
      </c>
      <c r="G50" s="512">
        <f t="shared" si="18"/>
        <v>2899085.4022253058</v>
      </c>
      <c r="H50" s="478">
        <f t="shared" si="19"/>
        <v>2899085.4022253058</v>
      </c>
      <c r="I50" s="501">
        <f t="shared" si="1"/>
        <v>0</v>
      </c>
      <c r="J50" s="501"/>
      <c r="K50" s="513"/>
      <c r="L50" s="505">
        <f t="shared" si="3"/>
        <v>0</v>
      </c>
      <c r="M50" s="513"/>
      <c r="N50" s="505">
        <f t="shared" si="5"/>
        <v>0</v>
      </c>
      <c r="O50" s="505">
        <f t="shared" si="6"/>
        <v>0</v>
      </c>
      <c r="P50" s="279"/>
    </row>
    <row r="51" spans="2:16" ht="12.5">
      <c r="B51" s="145" t="str">
        <f t="shared" si="0"/>
        <v/>
      </c>
      <c r="C51" s="496">
        <f>IF(D11="","-",+C50+1)</f>
        <v>2051</v>
      </c>
      <c r="D51" s="509">
        <f>IF(F50+SUM(E$17:E50)=D$10,F50,D$10-SUM(E$17:E50))</f>
        <v>647099.23358264472</v>
      </c>
      <c r="E51" s="510">
        <f t="shared" si="20"/>
        <v>647099.23358264472</v>
      </c>
      <c r="F51" s="511">
        <f t="shared" si="17"/>
        <v>0</v>
      </c>
      <c r="G51" s="512">
        <f t="shared" si="18"/>
        <v>684229.39090067847</v>
      </c>
      <c r="H51" s="478">
        <f t="shared" si="19"/>
        <v>684229.39090067847</v>
      </c>
      <c r="I51" s="501">
        <f t="shared" si="1"/>
        <v>0</v>
      </c>
      <c r="J51" s="501"/>
      <c r="K51" s="513"/>
      <c r="L51" s="505">
        <f t="shared" si="3"/>
        <v>0</v>
      </c>
      <c r="M51" s="513"/>
      <c r="N51" s="505">
        <f t="shared" si="5"/>
        <v>0</v>
      </c>
      <c r="O51" s="505">
        <f t="shared" si="6"/>
        <v>0</v>
      </c>
      <c r="P51" s="279"/>
    </row>
    <row r="52" spans="2:16" ht="12.5">
      <c r="B52" s="145" t="str">
        <f t="shared" si="0"/>
        <v/>
      </c>
      <c r="C52" s="496">
        <f>IF(D11="","-",+C51+1)</f>
        <v>2052</v>
      </c>
      <c r="D52" s="509">
        <f>IF(F51+SUM(E$17:E51)=D$10,F51,D$10-SUM(E$17:E51))</f>
        <v>0</v>
      </c>
      <c r="E52" s="510">
        <f t="shared" si="20"/>
        <v>0</v>
      </c>
      <c r="F52" s="511">
        <f t="shared" si="17"/>
        <v>0</v>
      </c>
      <c r="G52" s="512">
        <f t="shared" si="18"/>
        <v>0</v>
      </c>
      <c r="H52" s="478">
        <f t="shared" si="19"/>
        <v>0</v>
      </c>
      <c r="I52" s="501">
        <f t="shared" si="1"/>
        <v>0</v>
      </c>
      <c r="J52" s="501"/>
      <c r="K52" s="513"/>
      <c r="L52" s="505">
        <f t="shared" si="3"/>
        <v>0</v>
      </c>
      <c r="M52" s="513"/>
      <c r="N52" s="505">
        <f t="shared" si="5"/>
        <v>0</v>
      </c>
      <c r="O52" s="505">
        <f t="shared" si="6"/>
        <v>0</v>
      </c>
      <c r="P52" s="279"/>
    </row>
    <row r="53" spans="2:16" ht="12.5">
      <c r="B53" s="145" t="str">
        <f t="shared" si="0"/>
        <v/>
      </c>
      <c r="C53" s="496">
        <f>IF(D11="","-",+C52+1)</f>
        <v>2053</v>
      </c>
      <c r="D53" s="509">
        <f>IF(F52+SUM(E$17:E52)=D$10,F52,D$10-SUM(E$17:E52))</f>
        <v>0</v>
      </c>
      <c r="E53" s="510">
        <f t="shared" si="20"/>
        <v>0</v>
      </c>
      <c r="F53" s="511">
        <f t="shared" si="17"/>
        <v>0</v>
      </c>
      <c r="G53" s="512">
        <f t="shared" si="18"/>
        <v>0</v>
      </c>
      <c r="H53" s="478">
        <f t="shared" si="19"/>
        <v>0</v>
      </c>
      <c r="I53" s="501">
        <f t="shared" si="1"/>
        <v>0</v>
      </c>
      <c r="J53" s="501"/>
      <c r="K53" s="513"/>
      <c r="L53" s="505">
        <f t="shared" si="3"/>
        <v>0</v>
      </c>
      <c r="M53" s="513"/>
      <c r="N53" s="505">
        <f t="shared" si="5"/>
        <v>0</v>
      </c>
      <c r="O53" s="505">
        <f t="shared" si="6"/>
        <v>0</v>
      </c>
      <c r="P53" s="279"/>
    </row>
    <row r="54" spans="2:16" ht="12.5">
      <c r="B54" s="145" t="str">
        <f t="shared" si="0"/>
        <v/>
      </c>
      <c r="C54" s="496">
        <f>IF(D11="","-",+C53+1)</f>
        <v>2054</v>
      </c>
      <c r="D54" s="509">
        <f>IF(F53+SUM(E$17:E53)=D$10,F53,D$10-SUM(E$17:E53))</f>
        <v>0</v>
      </c>
      <c r="E54" s="510">
        <f t="shared" si="20"/>
        <v>0</v>
      </c>
      <c r="F54" s="511">
        <f t="shared" si="17"/>
        <v>0</v>
      </c>
      <c r="G54" s="512">
        <f t="shared" si="18"/>
        <v>0</v>
      </c>
      <c r="H54" s="478">
        <f t="shared" si="19"/>
        <v>0</v>
      </c>
      <c r="I54" s="501">
        <f t="shared" si="1"/>
        <v>0</v>
      </c>
      <c r="J54" s="501"/>
      <c r="K54" s="513"/>
      <c r="L54" s="505">
        <f t="shared" si="3"/>
        <v>0</v>
      </c>
      <c r="M54" s="513"/>
      <c r="N54" s="505">
        <f t="shared" si="5"/>
        <v>0</v>
      </c>
      <c r="O54" s="505">
        <f t="shared" si="6"/>
        <v>0</v>
      </c>
      <c r="P54" s="279"/>
    </row>
    <row r="55" spans="2:16" ht="12.5">
      <c r="B55" s="145" t="str">
        <f t="shared" si="0"/>
        <v/>
      </c>
      <c r="C55" s="496">
        <f>IF(D11="","-",+C54+1)</f>
        <v>2055</v>
      </c>
      <c r="D55" s="509">
        <f>IF(F54+SUM(E$17:E54)=D$10,F54,D$10-SUM(E$17:E54))</f>
        <v>0</v>
      </c>
      <c r="E55" s="510">
        <f t="shared" si="20"/>
        <v>0</v>
      </c>
      <c r="F55" s="511">
        <f t="shared" si="17"/>
        <v>0</v>
      </c>
      <c r="G55" s="512">
        <f t="shared" si="18"/>
        <v>0</v>
      </c>
      <c r="H55" s="478">
        <f t="shared" si="19"/>
        <v>0</v>
      </c>
      <c r="I55" s="501">
        <f t="shared" si="1"/>
        <v>0</v>
      </c>
      <c r="J55" s="501"/>
      <c r="K55" s="513"/>
      <c r="L55" s="505">
        <f t="shared" si="3"/>
        <v>0</v>
      </c>
      <c r="M55" s="513"/>
      <c r="N55" s="505">
        <f t="shared" si="5"/>
        <v>0</v>
      </c>
      <c r="O55" s="505">
        <f t="shared" si="6"/>
        <v>0</v>
      </c>
      <c r="P55" s="279"/>
    </row>
    <row r="56" spans="2:16" ht="12.5">
      <c r="B56" s="145" t="str">
        <f t="shared" si="0"/>
        <v/>
      </c>
      <c r="C56" s="496">
        <f>IF(D11="","-",+C55+1)</f>
        <v>2056</v>
      </c>
      <c r="D56" s="509">
        <f>IF(F55+SUM(E$17:E55)=D$10,F55,D$10-SUM(E$17:E55))</f>
        <v>0</v>
      </c>
      <c r="E56" s="510">
        <f t="shared" si="20"/>
        <v>0</v>
      </c>
      <c r="F56" s="511">
        <f t="shared" si="17"/>
        <v>0</v>
      </c>
      <c r="G56" s="512">
        <f t="shared" si="18"/>
        <v>0</v>
      </c>
      <c r="H56" s="478">
        <f t="shared" si="19"/>
        <v>0</v>
      </c>
      <c r="I56" s="501">
        <f t="shared" si="1"/>
        <v>0</v>
      </c>
      <c r="J56" s="501"/>
      <c r="K56" s="513"/>
      <c r="L56" s="505">
        <f t="shared" si="3"/>
        <v>0</v>
      </c>
      <c r="M56" s="513"/>
      <c r="N56" s="505">
        <f t="shared" si="5"/>
        <v>0</v>
      </c>
      <c r="O56" s="505">
        <f t="shared" si="6"/>
        <v>0</v>
      </c>
      <c r="P56" s="279"/>
    </row>
    <row r="57" spans="2:16" ht="12.5">
      <c r="B57" s="145" t="str">
        <f t="shared" si="0"/>
        <v/>
      </c>
      <c r="C57" s="496">
        <f>IF(D11="","-",+C56+1)</f>
        <v>2057</v>
      </c>
      <c r="D57" s="509">
        <f>IF(F56+SUM(E$17:E56)=D$10,F56,D$10-SUM(E$17:E56))</f>
        <v>0</v>
      </c>
      <c r="E57" s="510">
        <f t="shared" si="20"/>
        <v>0</v>
      </c>
      <c r="F57" s="511">
        <f t="shared" si="17"/>
        <v>0</v>
      </c>
      <c r="G57" s="512">
        <f t="shared" si="18"/>
        <v>0</v>
      </c>
      <c r="H57" s="478">
        <f t="shared" si="19"/>
        <v>0</v>
      </c>
      <c r="I57" s="501">
        <f t="shared" si="1"/>
        <v>0</v>
      </c>
      <c r="J57" s="501"/>
      <c r="K57" s="513"/>
      <c r="L57" s="505">
        <f t="shared" si="3"/>
        <v>0</v>
      </c>
      <c r="M57" s="513"/>
      <c r="N57" s="505">
        <f t="shared" si="5"/>
        <v>0</v>
      </c>
      <c r="O57" s="505">
        <f t="shared" si="6"/>
        <v>0</v>
      </c>
      <c r="P57" s="279"/>
    </row>
    <row r="58" spans="2:16" ht="12.5">
      <c r="B58" s="145" t="str">
        <f t="shared" si="0"/>
        <v/>
      </c>
      <c r="C58" s="496">
        <f>IF(D11="","-",+C57+1)</f>
        <v>2058</v>
      </c>
      <c r="D58" s="509">
        <f>IF(F57+SUM(E$17:E57)=D$10,F57,D$10-SUM(E$17:E57))</f>
        <v>0</v>
      </c>
      <c r="E58" s="510">
        <f t="shared" si="20"/>
        <v>0</v>
      </c>
      <c r="F58" s="511">
        <f t="shared" si="17"/>
        <v>0</v>
      </c>
      <c r="G58" s="512">
        <f t="shared" si="18"/>
        <v>0</v>
      </c>
      <c r="H58" s="478">
        <f t="shared" si="19"/>
        <v>0</v>
      </c>
      <c r="I58" s="501">
        <f t="shared" si="1"/>
        <v>0</v>
      </c>
      <c r="J58" s="501"/>
      <c r="K58" s="513"/>
      <c r="L58" s="505">
        <f t="shared" si="3"/>
        <v>0</v>
      </c>
      <c r="M58" s="513"/>
      <c r="N58" s="505">
        <f t="shared" si="5"/>
        <v>0</v>
      </c>
      <c r="O58" s="505">
        <f t="shared" si="6"/>
        <v>0</v>
      </c>
      <c r="P58" s="279"/>
    </row>
    <row r="59" spans="2:16" ht="12.5">
      <c r="B59" s="145" t="str">
        <f t="shared" si="0"/>
        <v/>
      </c>
      <c r="C59" s="496">
        <f>IF(D11="","-",+C58+1)</f>
        <v>2059</v>
      </c>
      <c r="D59" s="509">
        <f>IF(F58+SUM(E$17:E58)=D$10,F58,D$10-SUM(E$17:E58))</f>
        <v>0</v>
      </c>
      <c r="E59" s="510">
        <f t="shared" si="20"/>
        <v>0</v>
      </c>
      <c r="F59" s="511">
        <f t="shared" si="17"/>
        <v>0</v>
      </c>
      <c r="G59" s="512">
        <f t="shared" si="18"/>
        <v>0</v>
      </c>
      <c r="H59" s="478">
        <f t="shared" si="19"/>
        <v>0</v>
      </c>
      <c r="I59" s="501">
        <f t="shared" si="1"/>
        <v>0</v>
      </c>
      <c r="J59" s="501"/>
      <c r="K59" s="513"/>
      <c r="L59" s="505">
        <f t="shared" si="3"/>
        <v>0</v>
      </c>
      <c r="M59" s="513"/>
      <c r="N59" s="505">
        <f t="shared" si="5"/>
        <v>0</v>
      </c>
      <c r="O59" s="505">
        <f t="shared" si="6"/>
        <v>0</v>
      </c>
      <c r="P59" s="279"/>
    </row>
    <row r="60" spans="2:16" ht="12.5">
      <c r="B60" s="145" t="str">
        <f t="shared" si="0"/>
        <v/>
      </c>
      <c r="C60" s="496">
        <f>IF(D11="","-",+C59+1)</f>
        <v>2060</v>
      </c>
      <c r="D60" s="509">
        <f>IF(F59+SUM(E$17:E59)=D$10,F59,D$10-SUM(E$17:E59))</f>
        <v>0</v>
      </c>
      <c r="E60" s="510">
        <f t="shared" si="20"/>
        <v>0</v>
      </c>
      <c r="F60" s="511">
        <f t="shared" si="17"/>
        <v>0</v>
      </c>
      <c r="G60" s="512">
        <f t="shared" si="18"/>
        <v>0</v>
      </c>
      <c r="H60" s="478">
        <f t="shared" si="19"/>
        <v>0</v>
      </c>
      <c r="I60" s="501">
        <f t="shared" si="1"/>
        <v>0</v>
      </c>
      <c r="J60" s="501"/>
      <c r="K60" s="513"/>
      <c r="L60" s="505">
        <f t="shared" si="3"/>
        <v>0</v>
      </c>
      <c r="M60" s="513"/>
      <c r="N60" s="505">
        <f t="shared" si="5"/>
        <v>0</v>
      </c>
      <c r="O60" s="505">
        <f t="shared" si="6"/>
        <v>0</v>
      </c>
      <c r="P60" s="279"/>
    </row>
    <row r="61" spans="2:16" ht="12.5">
      <c r="B61" s="145" t="str">
        <f t="shared" si="0"/>
        <v/>
      </c>
      <c r="C61" s="496">
        <f>IF(D11="","-",+C60+1)</f>
        <v>2061</v>
      </c>
      <c r="D61" s="509">
        <f>IF(F60+SUM(E$17:E60)=D$10,F60,D$10-SUM(E$17:E60))</f>
        <v>0</v>
      </c>
      <c r="E61" s="510">
        <f t="shared" si="20"/>
        <v>0</v>
      </c>
      <c r="F61" s="511">
        <f t="shared" si="17"/>
        <v>0</v>
      </c>
      <c r="G61" s="524">
        <f t="shared" si="18"/>
        <v>0</v>
      </c>
      <c r="H61" s="478">
        <f t="shared" si="19"/>
        <v>0</v>
      </c>
      <c r="I61" s="501">
        <f t="shared" si="1"/>
        <v>0</v>
      </c>
      <c r="J61" s="501"/>
      <c r="K61" s="513"/>
      <c r="L61" s="505">
        <f t="shared" si="3"/>
        <v>0</v>
      </c>
      <c r="M61" s="513"/>
      <c r="N61" s="505">
        <f t="shared" si="5"/>
        <v>0</v>
      </c>
      <c r="O61" s="505">
        <f t="shared" si="6"/>
        <v>0</v>
      </c>
      <c r="P61" s="279"/>
    </row>
    <row r="62" spans="2:16" ht="12.5">
      <c r="B62" s="145" t="str">
        <f t="shared" si="0"/>
        <v/>
      </c>
      <c r="C62" s="496">
        <f>IF(D11="","-",+C61+1)</f>
        <v>2062</v>
      </c>
      <c r="D62" s="509">
        <f>IF(F61+SUM(E$17:E61)=D$10,F61,D$10-SUM(E$17:E61))</f>
        <v>0</v>
      </c>
      <c r="E62" s="510">
        <f t="shared" si="20"/>
        <v>0</v>
      </c>
      <c r="F62" s="511">
        <f t="shared" si="17"/>
        <v>0</v>
      </c>
      <c r="G62" s="524">
        <f t="shared" si="18"/>
        <v>0</v>
      </c>
      <c r="H62" s="478">
        <f t="shared" si="19"/>
        <v>0</v>
      </c>
      <c r="I62" s="501">
        <f t="shared" si="1"/>
        <v>0</v>
      </c>
      <c r="J62" s="501"/>
      <c r="K62" s="513"/>
      <c r="L62" s="505">
        <f t="shared" si="3"/>
        <v>0</v>
      </c>
      <c r="M62" s="513"/>
      <c r="N62" s="505">
        <f t="shared" si="5"/>
        <v>0</v>
      </c>
      <c r="O62" s="505">
        <f t="shared" si="6"/>
        <v>0</v>
      </c>
      <c r="P62" s="279"/>
    </row>
    <row r="63" spans="2:16" ht="12.5">
      <c r="B63" s="145" t="str">
        <f t="shared" si="0"/>
        <v/>
      </c>
      <c r="C63" s="496">
        <f>IF(D11="","-",+C62+1)</f>
        <v>2063</v>
      </c>
      <c r="D63" s="509">
        <f>IF(F62+SUM(E$17:E62)=D$10,F62,D$10-SUM(E$17:E62))</f>
        <v>0</v>
      </c>
      <c r="E63" s="510">
        <f t="shared" si="20"/>
        <v>0</v>
      </c>
      <c r="F63" s="511">
        <f t="shared" si="17"/>
        <v>0</v>
      </c>
      <c r="G63" s="524">
        <f t="shared" si="18"/>
        <v>0</v>
      </c>
      <c r="H63" s="478">
        <f t="shared" si="19"/>
        <v>0</v>
      </c>
      <c r="I63" s="501">
        <f t="shared" si="1"/>
        <v>0</v>
      </c>
      <c r="J63" s="501"/>
      <c r="K63" s="513"/>
      <c r="L63" s="505">
        <f t="shared" si="3"/>
        <v>0</v>
      </c>
      <c r="M63" s="513"/>
      <c r="N63" s="505">
        <f t="shared" si="5"/>
        <v>0</v>
      </c>
      <c r="O63" s="505">
        <f t="shared" si="6"/>
        <v>0</v>
      </c>
      <c r="P63" s="279"/>
    </row>
    <row r="64" spans="2:16" ht="12.5">
      <c r="B64" s="145" t="str">
        <f t="shared" si="0"/>
        <v/>
      </c>
      <c r="C64" s="496">
        <f>IF(D11="","-",+C63+1)</f>
        <v>2064</v>
      </c>
      <c r="D64" s="509">
        <f>IF(F63+SUM(E$17:E63)=D$10,F63,D$10-SUM(E$17:E63))</f>
        <v>0</v>
      </c>
      <c r="E64" s="510">
        <f t="shared" si="20"/>
        <v>0</v>
      </c>
      <c r="F64" s="511">
        <f t="shared" si="17"/>
        <v>0</v>
      </c>
      <c r="G64" s="524">
        <f t="shared" si="18"/>
        <v>0</v>
      </c>
      <c r="H64" s="478">
        <f t="shared" si="19"/>
        <v>0</v>
      </c>
      <c r="I64" s="501">
        <f t="shared" si="1"/>
        <v>0</v>
      </c>
      <c r="J64" s="501"/>
      <c r="K64" s="513"/>
      <c r="L64" s="505">
        <f t="shared" si="3"/>
        <v>0</v>
      </c>
      <c r="M64" s="513"/>
      <c r="N64" s="505">
        <f t="shared" si="5"/>
        <v>0</v>
      </c>
      <c r="O64" s="505">
        <f t="shared" si="6"/>
        <v>0</v>
      </c>
      <c r="P64" s="279"/>
    </row>
    <row r="65" spans="2:16" ht="12.5">
      <c r="B65" s="145" t="str">
        <f t="shared" si="0"/>
        <v/>
      </c>
      <c r="C65" s="496">
        <f>IF(D11="","-",+C64+1)</f>
        <v>2065</v>
      </c>
      <c r="D65" s="509">
        <f>IF(F64+SUM(E$17:E64)=D$10,F64,D$10-SUM(E$17:E64))</f>
        <v>0</v>
      </c>
      <c r="E65" s="510">
        <f t="shared" si="20"/>
        <v>0</v>
      </c>
      <c r="F65" s="511">
        <f t="shared" si="17"/>
        <v>0</v>
      </c>
      <c r="G65" s="524">
        <f t="shared" si="18"/>
        <v>0</v>
      </c>
      <c r="H65" s="478">
        <f t="shared" si="19"/>
        <v>0</v>
      </c>
      <c r="I65" s="501">
        <f t="shared" si="1"/>
        <v>0</v>
      </c>
      <c r="J65" s="501"/>
      <c r="K65" s="513"/>
      <c r="L65" s="505">
        <f t="shared" si="3"/>
        <v>0</v>
      </c>
      <c r="M65" s="513"/>
      <c r="N65" s="505">
        <f t="shared" si="5"/>
        <v>0</v>
      </c>
      <c r="O65" s="505">
        <f t="shared" si="6"/>
        <v>0</v>
      </c>
      <c r="P65" s="279"/>
    </row>
    <row r="66" spans="2:16" ht="12.5">
      <c r="B66" s="145" t="str">
        <f t="shared" si="0"/>
        <v/>
      </c>
      <c r="C66" s="496">
        <f>IF(D11="","-",+C65+1)</f>
        <v>2066</v>
      </c>
      <c r="D66" s="509">
        <f>IF(F65+SUM(E$17:E65)=D$10,F65,D$10-SUM(E$17:E65))</f>
        <v>0</v>
      </c>
      <c r="E66" s="510">
        <f t="shared" si="20"/>
        <v>0</v>
      </c>
      <c r="F66" s="511">
        <f t="shared" si="17"/>
        <v>0</v>
      </c>
      <c r="G66" s="524">
        <f t="shared" si="18"/>
        <v>0</v>
      </c>
      <c r="H66" s="478">
        <f t="shared" si="19"/>
        <v>0</v>
      </c>
      <c r="I66" s="501">
        <f t="shared" si="1"/>
        <v>0</v>
      </c>
      <c r="J66" s="501"/>
      <c r="K66" s="513"/>
      <c r="L66" s="505">
        <f t="shared" si="3"/>
        <v>0</v>
      </c>
      <c r="M66" s="513"/>
      <c r="N66" s="505">
        <f t="shared" si="5"/>
        <v>0</v>
      </c>
      <c r="O66" s="505">
        <f t="shared" si="6"/>
        <v>0</v>
      </c>
      <c r="P66" s="279"/>
    </row>
    <row r="67" spans="2:16" ht="12.5">
      <c r="B67" s="145" t="str">
        <f t="shared" si="0"/>
        <v/>
      </c>
      <c r="C67" s="496">
        <f>IF(D11="","-",+C66+1)</f>
        <v>2067</v>
      </c>
      <c r="D67" s="509">
        <f>IF(F66+SUM(E$17:E66)=D$10,F66,D$10-SUM(E$17:E66))</f>
        <v>0</v>
      </c>
      <c r="E67" s="510">
        <f t="shared" si="20"/>
        <v>0</v>
      </c>
      <c r="F67" s="511">
        <f t="shared" si="17"/>
        <v>0</v>
      </c>
      <c r="G67" s="524">
        <f t="shared" si="18"/>
        <v>0</v>
      </c>
      <c r="H67" s="478">
        <f t="shared" si="19"/>
        <v>0</v>
      </c>
      <c r="I67" s="501">
        <f t="shared" si="1"/>
        <v>0</v>
      </c>
      <c r="J67" s="501"/>
      <c r="K67" s="513"/>
      <c r="L67" s="505">
        <f t="shared" si="3"/>
        <v>0</v>
      </c>
      <c r="M67" s="513"/>
      <c r="N67" s="505">
        <f t="shared" si="5"/>
        <v>0</v>
      </c>
      <c r="O67" s="505">
        <f t="shared" si="6"/>
        <v>0</v>
      </c>
      <c r="P67" s="279"/>
    </row>
    <row r="68" spans="2:16" ht="12.5">
      <c r="B68" s="145" t="str">
        <f t="shared" si="0"/>
        <v/>
      </c>
      <c r="C68" s="496">
        <f>IF(D11="","-",+C67+1)</f>
        <v>2068</v>
      </c>
      <c r="D68" s="509">
        <f>IF(F67+SUM(E$17:E67)=D$10,F67,D$10-SUM(E$17:E67))</f>
        <v>0</v>
      </c>
      <c r="E68" s="510">
        <f t="shared" si="20"/>
        <v>0</v>
      </c>
      <c r="F68" s="511">
        <f t="shared" si="17"/>
        <v>0</v>
      </c>
      <c r="G68" s="524">
        <f t="shared" si="18"/>
        <v>0</v>
      </c>
      <c r="H68" s="478">
        <f t="shared" si="19"/>
        <v>0</v>
      </c>
      <c r="I68" s="501">
        <f t="shared" si="1"/>
        <v>0</v>
      </c>
      <c r="J68" s="501"/>
      <c r="K68" s="513"/>
      <c r="L68" s="505">
        <f t="shared" si="3"/>
        <v>0</v>
      </c>
      <c r="M68" s="513"/>
      <c r="N68" s="505">
        <f t="shared" si="5"/>
        <v>0</v>
      </c>
      <c r="O68" s="505">
        <f t="shared" si="6"/>
        <v>0</v>
      </c>
      <c r="P68" s="279"/>
    </row>
    <row r="69" spans="2:16" ht="12.5">
      <c r="B69" s="145" t="str">
        <f t="shared" si="0"/>
        <v/>
      </c>
      <c r="C69" s="496">
        <f>IF(D11="","-",+C68+1)</f>
        <v>2069</v>
      </c>
      <c r="D69" s="509">
        <f>IF(F68+SUM(E$17:E68)=D$10,F68,D$10-SUM(E$17:E68))</f>
        <v>0</v>
      </c>
      <c r="E69" s="510">
        <f t="shared" si="20"/>
        <v>0</v>
      </c>
      <c r="F69" s="511">
        <f t="shared" si="17"/>
        <v>0</v>
      </c>
      <c r="G69" s="524">
        <f t="shared" si="18"/>
        <v>0</v>
      </c>
      <c r="H69" s="478">
        <f t="shared" si="19"/>
        <v>0</v>
      </c>
      <c r="I69" s="501">
        <f t="shared" si="1"/>
        <v>0</v>
      </c>
      <c r="J69" s="501"/>
      <c r="K69" s="513"/>
      <c r="L69" s="505">
        <f t="shared" si="3"/>
        <v>0</v>
      </c>
      <c r="M69" s="513"/>
      <c r="N69" s="505">
        <f t="shared" si="5"/>
        <v>0</v>
      </c>
      <c r="O69" s="505">
        <f t="shared" si="6"/>
        <v>0</v>
      </c>
      <c r="P69" s="279"/>
    </row>
    <row r="70" spans="2:16" ht="12.5">
      <c r="B70" s="145" t="str">
        <f t="shared" si="0"/>
        <v/>
      </c>
      <c r="C70" s="496">
        <f>IF(D11="","-",+C69+1)</f>
        <v>2070</v>
      </c>
      <c r="D70" s="509">
        <f>IF(F69+SUM(E$17:E69)=D$10,F69,D$10-SUM(E$17:E69))</f>
        <v>0</v>
      </c>
      <c r="E70" s="510">
        <f t="shared" si="20"/>
        <v>0</v>
      </c>
      <c r="F70" s="511">
        <f t="shared" si="17"/>
        <v>0</v>
      </c>
      <c r="G70" s="524">
        <f t="shared" si="18"/>
        <v>0</v>
      </c>
      <c r="H70" s="478">
        <f t="shared" si="19"/>
        <v>0</v>
      </c>
      <c r="I70" s="501">
        <f t="shared" si="1"/>
        <v>0</v>
      </c>
      <c r="J70" s="501"/>
      <c r="K70" s="513"/>
      <c r="L70" s="505">
        <f t="shared" si="3"/>
        <v>0</v>
      </c>
      <c r="M70" s="513"/>
      <c r="N70" s="505">
        <f t="shared" si="5"/>
        <v>0</v>
      </c>
      <c r="O70" s="505">
        <f t="shared" si="6"/>
        <v>0</v>
      </c>
      <c r="P70" s="279"/>
    </row>
    <row r="71" spans="2:16" ht="12.5">
      <c r="B71" s="145" t="str">
        <f t="shared" si="0"/>
        <v/>
      </c>
      <c r="C71" s="496">
        <f>IF(D11="","-",+C70+1)</f>
        <v>2071</v>
      </c>
      <c r="D71" s="509">
        <f>IF(F70+SUM(E$17:E70)=D$10,F70,D$10-SUM(E$17:E70))</f>
        <v>0</v>
      </c>
      <c r="E71" s="510">
        <f t="shared" si="20"/>
        <v>0</v>
      </c>
      <c r="F71" s="511">
        <f t="shared" si="17"/>
        <v>0</v>
      </c>
      <c r="G71" s="524">
        <f t="shared" si="18"/>
        <v>0</v>
      </c>
      <c r="H71" s="478">
        <f t="shared" si="19"/>
        <v>0</v>
      </c>
      <c r="I71" s="501">
        <f t="shared" si="1"/>
        <v>0</v>
      </c>
      <c r="J71" s="501"/>
      <c r="K71" s="513"/>
      <c r="L71" s="505">
        <f t="shared" si="3"/>
        <v>0</v>
      </c>
      <c r="M71" s="513"/>
      <c r="N71" s="505">
        <f t="shared" si="5"/>
        <v>0</v>
      </c>
      <c r="O71" s="505">
        <f t="shared" si="6"/>
        <v>0</v>
      </c>
      <c r="P71" s="279"/>
    </row>
    <row r="72" spans="2:16" ht="12.5">
      <c r="C72" s="496">
        <f>IF(D12="","-",+C71+1)</f>
        <v>2072</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2073</v>
      </c>
      <c r="D73" s="509">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88160625.259999976</v>
      </c>
      <c r="F74" s="295"/>
      <c r="G74" s="295">
        <f>SUM(G17:G73)</f>
        <v>257448395.18091691</v>
      </c>
      <c r="H74" s="295">
        <f>SUM(H17:H73)</f>
        <v>257448395.18091691</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17 of 23</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2023</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11160198.227597371</v>
      </c>
      <c r="N88" s="545">
        <f>IF(J93&lt;D11,0,VLOOKUP(J93,C17:O73,11))</f>
        <v>11160198.227597371</v>
      </c>
      <c r="O88" s="546">
        <f>+N88-M88</f>
        <v>0</v>
      </c>
      <c r="P88" s="244"/>
    </row>
    <row r="89" spans="1:16" ht="15.5">
      <c r="C89" s="236"/>
      <c r="D89" s="293"/>
      <c r="E89" s="244"/>
      <c r="F89" s="244"/>
      <c r="G89" s="244"/>
      <c r="H89" s="244"/>
      <c r="I89" s="450"/>
      <c r="J89" s="450"/>
      <c r="K89" s="547"/>
      <c r="L89" s="548" t="s">
        <v>254</v>
      </c>
      <c r="M89" s="549">
        <f>IF(J93&lt;D11,0,VLOOKUP(J93,C100:P155,6))</f>
        <v>12328115.642040271</v>
      </c>
      <c r="N89" s="549">
        <f>IF(J93&lt;D11,0,VLOOKUP(J93,C100:P155,7))</f>
        <v>12328115.642040271</v>
      </c>
      <c r="O89" s="550">
        <f>+N89-M89</f>
        <v>0</v>
      </c>
      <c r="P89" s="244"/>
    </row>
    <row r="90" spans="1:16" ht="13.5" thickBot="1">
      <c r="C90" s="455" t="s">
        <v>82</v>
      </c>
      <c r="D90" s="551" t="str">
        <f>+D7</f>
        <v>Chisholm - Gracemont 345 kv line and station</v>
      </c>
      <c r="E90" s="244"/>
      <c r="F90" s="244"/>
      <c r="G90" s="244"/>
      <c r="H90" s="244"/>
      <c r="I90" s="326"/>
      <c r="J90" s="326"/>
      <c r="K90" s="552"/>
      <c r="L90" s="553" t="s">
        <v>135</v>
      </c>
      <c r="M90" s="554">
        <f>+M89-M88</f>
        <v>1167917.4144429006</v>
      </c>
      <c r="N90" s="554">
        <f>+N89-N88</f>
        <v>1167917.4144429006</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2011150</v>
      </c>
      <c r="E92" s="559"/>
      <c r="F92" s="559"/>
      <c r="G92" s="559"/>
      <c r="H92" s="559"/>
      <c r="I92" s="559"/>
      <c r="J92" s="559"/>
      <c r="K92" s="561"/>
      <c r="P92" s="469"/>
    </row>
    <row r="93" spans="1:16" ht="13">
      <c r="C93" s="473" t="s">
        <v>49</v>
      </c>
      <c r="D93" s="471">
        <f>D10</f>
        <v>88160625.260000005</v>
      </c>
      <c r="E93" s="249" t="s">
        <v>84</v>
      </c>
      <c r="H93" s="409"/>
      <c r="I93" s="409"/>
      <c r="J93" s="472">
        <f>+'OKT.WS.G.BPU.ATRR.True-up'!M16</f>
        <v>2023</v>
      </c>
      <c r="K93" s="468"/>
      <c r="L93" s="295" t="s">
        <v>85</v>
      </c>
      <c r="P93" s="279"/>
    </row>
    <row r="94" spans="1:16" ht="12.5">
      <c r="C94" s="473" t="s">
        <v>52</v>
      </c>
      <c r="D94" s="474">
        <f>IF(D11=I10,"",D11)</f>
        <v>2017</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471">
        <f>IF(D11=I10,"",D12)</f>
        <v>12</v>
      </c>
      <c r="E95" s="473" t="s">
        <v>55</v>
      </c>
      <c r="F95" s="409"/>
      <c r="G95" s="409"/>
      <c r="J95" s="477">
        <f>'OKT.WS.G.BPU.ATRR.True-up'!$F$81</f>
        <v>0.10963416019310859</v>
      </c>
      <c r="K95" s="414"/>
      <c r="L95" s="145" t="s">
        <v>86</v>
      </c>
      <c r="P95" s="279"/>
    </row>
    <row r="96" spans="1:16" ht="12.5">
      <c r="C96" s="473" t="s">
        <v>57</v>
      </c>
      <c r="D96" s="475">
        <f>'OKT.WS.G.BPU.ATRR.True-up'!F$93</f>
        <v>19</v>
      </c>
      <c r="E96" s="473" t="s">
        <v>58</v>
      </c>
      <c r="F96" s="409"/>
      <c r="G96" s="409"/>
      <c r="J96" s="477">
        <f>IF(H88="",J95,'OKT.WS.G.BPU.ATRR.True-up'!$F$80)</f>
        <v>0.10963416019310859</v>
      </c>
      <c r="K96" s="292"/>
      <c r="L96" s="295" t="s">
        <v>59</v>
      </c>
      <c r="M96" s="292"/>
      <c r="N96" s="292"/>
      <c r="O96" s="292"/>
      <c r="P96" s="279"/>
    </row>
    <row r="97" spans="1:16" ht="13" thickBot="1">
      <c r="C97" s="473" t="s">
        <v>60</v>
      </c>
      <c r="D97" s="638" t="str">
        <f>+D14</f>
        <v>No</v>
      </c>
      <c r="E97" s="564" t="s">
        <v>62</v>
      </c>
      <c r="F97" s="565"/>
      <c r="G97" s="565"/>
      <c r="H97" s="566"/>
      <c r="I97" s="566"/>
      <c r="J97" s="459">
        <f>IF(D93=0,0,D93/D96)</f>
        <v>4640032.9084210526</v>
      </c>
      <c r="K97" s="295"/>
      <c r="L97" s="295"/>
      <c r="M97" s="295"/>
      <c r="N97" s="295"/>
      <c r="O97" s="295"/>
      <c r="P97" s="279"/>
    </row>
    <row r="98" spans="1:16"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row>
    <row r="100" spans="1:16" ht="12.5">
      <c r="B100" s="145" t="str">
        <f t="shared" ref="B100:B155" si="21">IF(D100=F99,"","IU")</f>
        <v>IU</v>
      </c>
      <c r="C100" s="496">
        <f>IF(D94= "","-",D94)</f>
        <v>2017</v>
      </c>
      <c r="D100" s="497">
        <v>0</v>
      </c>
      <c r="E100" s="499">
        <v>0</v>
      </c>
      <c r="F100" s="506">
        <v>87396515</v>
      </c>
      <c r="G100" s="506">
        <v>43698257.5</v>
      </c>
      <c r="H100" s="499">
        <v>5127372.8083007364</v>
      </c>
      <c r="I100" s="500">
        <v>5127372.8083007364</v>
      </c>
      <c r="J100" s="505">
        <f t="shared" ref="J100:J131" si="22">+I100-H100</f>
        <v>0</v>
      </c>
      <c r="K100" s="505"/>
      <c r="L100" s="507">
        <f>+H100</f>
        <v>5127372.8083007364</v>
      </c>
      <c r="M100" s="505">
        <f t="shared" ref="M100:M131" si="23">IF(L100&lt;&gt;0,+H100-L100,0)</f>
        <v>0</v>
      </c>
      <c r="N100" s="507">
        <f>+I100</f>
        <v>5127372.8083007364</v>
      </c>
      <c r="O100" s="587">
        <f t="shared" ref="O100:O131" si="24">IF(N100&lt;&gt;0,+I100-N100,0)</f>
        <v>0</v>
      </c>
      <c r="P100" s="505">
        <f t="shared" ref="P100:P131" si="25">+O100-M100</f>
        <v>0</v>
      </c>
    </row>
    <row r="101" spans="1:16" ht="12.5">
      <c r="B101" s="145" t="str">
        <f t="shared" si="21"/>
        <v/>
      </c>
      <c r="C101" s="496">
        <f>IF(D94="","-",+C100+1)</f>
        <v>2018</v>
      </c>
      <c r="D101" s="497">
        <v>87396515</v>
      </c>
      <c r="E101" s="499">
        <v>2427680.972222222</v>
      </c>
      <c r="F101" s="506">
        <v>84968834.027777776</v>
      </c>
      <c r="G101" s="506">
        <v>86182674.513888896</v>
      </c>
      <c r="H101" s="499">
        <v>11525335.163817437</v>
      </c>
      <c r="I101" s="500">
        <v>11525335.163817437</v>
      </c>
      <c r="J101" s="505">
        <f t="shared" si="22"/>
        <v>0</v>
      </c>
      <c r="K101" s="505"/>
      <c r="L101" s="507">
        <f>H101</f>
        <v>11525335.163817437</v>
      </c>
      <c r="M101" s="505">
        <f>IF(L101&lt;&gt;0,+H101-L101,0)</f>
        <v>0</v>
      </c>
      <c r="N101" s="507">
        <f>I101</f>
        <v>11525335.163817437</v>
      </c>
      <c r="O101" s="505">
        <f>IF(N101&lt;&gt;0,+I101-N101,0)</f>
        <v>0</v>
      </c>
      <c r="P101" s="505">
        <f>+O101-M101</f>
        <v>0</v>
      </c>
    </row>
    <row r="102" spans="1:16" ht="12.5">
      <c r="B102" s="145" t="str">
        <f t="shared" si="21"/>
        <v>IU</v>
      </c>
      <c r="C102" s="496">
        <f>IF(D94="","-",+C101+1)</f>
        <v>2019</v>
      </c>
      <c r="D102" s="497">
        <v>85829515.027777776</v>
      </c>
      <c r="E102" s="499">
        <v>2451588.777777778</v>
      </c>
      <c r="F102" s="506">
        <v>83377926.25</v>
      </c>
      <c r="G102" s="506">
        <v>84603720.638888896</v>
      </c>
      <c r="H102" s="499">
        <v>11382564.731313506</v>
      </c>
      <c r="I102" s="500">
        <v>11382564.731313506</v>
      </c>
      <c r="J102" s="505">
        <f t="shared" si="22"/>
        <v>0</v>
      </c>
      <c r="K102" s="505"/>
      <c r="L102" s="507">
        <f>H102</f>
        <v>11382564.731313506</v>
      </c>
      <c r="M102" s="505">
        <f>IF(L102&lt;&gt;0,+H102-L102,0)</f>
        <v>0</v>
      </c>
      <c r="N102" s="507">
        <f>I102</f>
        <v>11382564.731313506</v>
      </c>
      <c r="O102" s="505">
        <f t="shared" si="24"/>
        <v>0</v>
      </c>
      <c r="P102" s="505">
        <f t="shared" si="25"/>
        <v>0</v>
      </c>
    </row>
    <row r="103" spans="1:16" ht="12.5">
      <c r="B103" s="145" t="str">
        <f t="shared" si="21"/>
        <v>IU</v>
      </c>
      <c r="C103" s="496">
        <f>IF(D94="","-",+C102+1)</f>
        <v>2020</v>
      </c>
      <c r="D103" s="497">
        <v>82792963.25</v>
      </c>
      <c r="E103" s="499">
        <v>3131151.1785714286</v>
      </c>
      <c r="F103" s="506">
        <v>79661812.071428567</v>
      </c>
      <c r="G103" s="506">
        <v>81227387.660714284</v>
      </c>
      <c r="H103" s="499">
        <v>11774841.711765051</v>
      </c>
      <c r="I103" s="500">
        <v>11774841.711765051</v>
      </c>
      <c r="J103" s="505">
        <f t="shared" si="22"/>
        <v>0</v>
      </c>
      <c r="K103" s="505"/>
      <c r="L103" s="507">
        <f>H103</f>
        <v>11774841.711765051</v>
      </c>
      <c r="M103" s="505">
        <f>IF(L103&lt;&gt;0,+H103-L103,0)</f>
        <v>0</v>
      </c>
      <c r="N103" s="507">
        <f>I103</f>
        <v>11774841.711765051</v>
      </c>
      <c r="O103" s="505">
        <f t="shared" si="24"/>
        <v>0</v>
      </c>
      <c r="P103" s="505">
        <f t="shared" si="25"/>
        <v>0</v>
      </c>
    </row>
    <row r="104" spans="1:16" ht="12.5">
      <c r="B104" s="145" t="str">
        <f t="shared" si="21"/>
        <v>IU</v>
      </c>
      <c r="C104" s="496">
        <f>IF(D94="","-",+C103+1)</f>
        <v>2021</v>
      </c>
      <c r="D104" s="497">
        <v>79669058.071428567</v>
      </c>
      <c r="E104" s="499">
        <v>3507179.16</v>
      </c>
      <c r="F104" s="506">
        <v>76161878.911428571</v>
      </c>
      <c r="G104" s="506">
        <v>77915468.491428569</v>
      </c>
      <c r="H104" s="499">
        <v>12698244.677714044</v>
      </c>
      <c r="I104" s="500">
        <v>12698244.677714044</v>
      </c>
      <c r="J104" s="505">
        <f t="shared" si="22"/>
        <v>0</v>
      </c>
      <c r="K104" s="505"/>
      <c r="L104" s="507">
        <f>H104</f>
        <v>12698244.677714044</v>
      </c>
      <c r="M104" s="505">
        <f>IF(L104&lt;&gt;0,+H104-L104,0)</f>
        <v>0</v>
      </c>
      <c r="N104" s="507">
        <f>I104</f>
        <v>12698244.677714044</v>
      </c>
      <c r="O104" s="505">
        <f t="shared" si="24"/>
        <v>0</v>
      </c>
      <c r="P104" s="505">
        <f t="shared" si="25"/>
        <v>0</v>
      </c>
    </row>
    <row r="105" spans="1:16" ht="12.5">
      <c r="B105" s="145" t="str">
        <f t="shared" si="21"/>
        <v>IU</v>
      </c>
      <c r="C105" s="496">
        <f>IF(D94="","-",+C104+1)</f>
        <v>2022</v>
      </c>
      <c r="D105" s="497">
        <v>76643025.171428576</v>
      </c>
      <c r="E105" s="499">
        <v>4198125.0123809529</v>
      </c>
      <c r="F105" s="506">
        <v>72444900.159047619</v>
      </c>
      <c r="G105" s="506">
        <v>74543962.665238097</v>
      </c>
      <c r="H105" s="499">
        <v>12768147.416618753</v>
      </c>
      <c r="I105" s="500">
        <v>12768147.416618753</v>
      </c>
      <c r="J105" s="505">
        <f t="shared" si="22"/>
        <v>0</v>
      </c>
      <c r="K105" s="505"/>
      <c r="L105" s="507">
        <f>H105</f>
        <v>12768147.416618753</v>
      </c>
      <c r="M105" s="505">
        <f>IF(L105&lt;&gt;0,+H105-L105,0)</f>
        <v>0</v>
      </c>
      <c r="N105" s="507">
        <f>I105</f>
        <v>12768147.416618753</v>
      </c>
      <c r="O105" s="505">
        <f t="shared" ref="O105" si="26">IF(N105&lt;&gt;0,+I105-N105,0)</f>
        <v>0</v>
      </c>
      <c r="P105" s="505">
        <f t="shared" ref="P105" si="27">+O105-M105</f>
        <v>0</v>
      </c>
    </row>
    <row r="106" spans="1:16" ht="12.5">
      <c r="B106" s="145" t="str">
        <f t="shared" si="21"/>
        <v/>
      </c>
      <c r="C106" s="496">
        <f>IF(D94="","-",+C105+1)</f>
        <v>2023</v>
      </c>
      <c r="D106" s="350">
        <f>IF(F105+SUM(E$100:E105)=D$93,F105,D$93-SUM(E$100:E105))</f>
        <v>72444900.159047619</v>
      </c>
      <c r="E106" s="510">
        <f t="shared" ref="E106:E132" si="28">IF(+J$97&lt;F105,J$97,D106)</f>
        <v>4640032.9084210526</v>
      </c>
      <c r="F106" s="511">
        <f t="shared" ref="F106:F131" si="29">+D106-E106</f>
        <v>67804867.250626564</v>
      </c>
      <c r="G106" s="511">
        <f t="shared" ref="G106:G131" si="30">+(F106+D106)/2</f>
        <v>70124883.704837084</v>
      </c>
      <c r="H106" s="645">
        <f t="shared" ref="H106:H155" si="31">(D106+F106)/2*J$95+E106</f>
        <v>12328115.642040271</v>
      </c>
      <c r="I106" s="628">
        <f t="shared" ref="I106:I155" si="32">+J$96*G106+E106</f>
        <v>12328115.642040271</v>
      </c>
      <c r="J106" s="505">
        <f t="shared" si="22"/>
        <v>0</v>
      </c>
      <c r="K106" s="505"/>
      <c r="L106" s="513"/>
      <c r="M106" s="505">
        <f t="shared" si="23"/>
        <v>0</v>
      </c>
      <c r="N106" s="513"/>
      <c r="O106" s="505">
        <f t="shared" si="24"/>
        <v>0</v>
      </c>
      <c r="P106" s="505">
        <f t="shared" si="25"/>
        <v>0</v>
      </c>
    </row>
    <row r="107" spans="1:16" ht="12.5">
      <c r="B107" s="145" t="str">
        <f t="shared" si="21"/>
        <v/>
      </c>
      <c r="C107" s="496">
        <f>IF(D94="","-",+C106+1)</f>
        <v>2024</v>
      </c>
      <c r="D107" s="350">
        <f>IF(F106+SUM(E$100:E106)=D$93,F106,D$93-SUM(E$100:E106))</f>
        <v>67804867.250626564</v>
      </c>
      <c r="E107" s="510">
        <f t="shared" si="28"/>
        <v>4640032.9084210526</v>
      </c>
      <c r="F107" s="511">
        <f t="shared" si="29"/>
        <v>63164834.34220551</v>
      </c>
      <c r="G107" s="511">
        <f t="shared" si="30"/>
        <v>65484850.796416037</v>
      </c>
      <c r="H107" s="645">
        <f t="shared" si="31"/>
        <v>11819409.530857142</v>
      </c>
      <c r="I107" s="628">
        <f t="shared" si="32"/>
        <v>11819409.530857142</v>
      </c>
      <c r="J107" s="505">
        <f t="shared" si="22"/>
        <v>0</v>
      </c>
      <c r="K107" s="505"/>
      <c r="L107" s="513"/>
      <c r="M107" s="505">
        <f t="shared" si="23"/>
        <v>0</v>
      </c>
      <c r="N107" s="513"/>
      <c r="O107" s="505">
        <f t="shared" si="24"/>
        <v>0</v>
      </c>
      <c r="P107" s="505">
        <f t="shared" si="25"/>
        <v>0</v>
      </c>
    </row>
    <row r="108" spans="1:16" ht="12.5">
      <c r="B108" s="145" t="str">
        <f t="shared" si="21"/>
        <v/>
      </c>
      <c r="C108" s="496">
        <f>IF(D94="","-",+C107+1)</f>
        <v>2025</v>
      </c>
      <c r="D108" s="350">
        <f>IF(F107+SUM(E$100:E107)=D$93,F107,D$93-SUM(E$100:E107))</f>
        <v>63164834.34220551</v>
      </c>
      <c r="E108" s="510">
        <f t="shared" si="28"/>
        <v>4640032.9084210526</v>
      </c>
      <c r="F108" s="511">
        <f t="shared" si="29"/>
        <v>58524801.433784455</v>
      </c>
      <c r="G108" s="511">
        <f t="shared" si="30"/>
        <v>60844817.887994982</v>
      </c>
      <c r="H108" s="645">
        <f t="shared" si="31"/>
        <v>11310703.419674013</v>
      </c>
      <c r="I108" s="628">
        <f t="shared" si="32"/>
        <v>11310703.419674013</v>
      </c>
      <c r="J108" s="505">
        <f t="shared" si="22"/>
        <v>0</v>
      </c>
      <c r="K108" s="505"/>
      <c r="L108" s="513"/>
      <c r="M108" s="505">
        <f t="shared" si="23"/>
        <v>0</v>
      </c>
      <c r="N108" s="513"/>
      <c r="O108" s="505">
        <f t="shared" si="24"/>
        <v>0</v>
      </c>
      <c r="P108" s="505">
        <f t="shared" si="25"/>
        <v>0</v>
      </c>
    </row>
    <row r="109" spans="1:16" ht="12.5">
      <c r="B109" s="145" t="str">
        <f t="shared" si="21"/>
        <v/>
      </c>
      <c r="C109" s="496">
        <f>IF(D94="","-",+C108+1)</f>
        <v>2026</v>
      </c>
      <c r="D109" s="350">
        <f>IF(F108+SUM(E$100:E108)=D$93,F108,D$93-SUM(E$100:E108))</f>
        <v>58524801.433784455</v>
      </c>
      <c r="E109" s="510">
        <f t="shared" si="28"/>
        <v>4640032.9084210526</v>
      </c>
      <c r="F109" s="511">
        <f t="shared" si="29"/>
        <v>53884768.525363401</v>
      </c>
      <c r="G109" s="511">
        <f t="shared" si="30"/>
        <v>56204784.979573928</v>
      </c>
      <c r="H109" s="645">
        <f t="shared" si="31"/>
        <v>10801997.308490884</v>
      </c>
      <c r="I109" s="628">
        <f t="shared" si="32"/>
        <v>10801997.308490884</v>
      </c>
      <c r="J109" s="505">
        <f t="shared" si="22"/>
        <v>0</v>
      </c>
      <c r="K109" s="505"/>
      <c r="L109" s="513"/>
      <c r="M109" s="505">
        <f t="shared" si="23"/>
        <v>0</v>
      </c>
      <c r="N109" s="513"/>
      <c r="O109" s="505">
        <f t="shared" si="24"/>
        <v>0</v>
      </c>
      <c r="P109" s="505">
        <f t="shared" si="25"/>
        <v>0</v>
      </c>
    </row>
    <row r="110" spans="1:16" ht="12.5">
      <c r="B110" s="145" t="str">
        <f t="shared" si="21"/>
        <v/>
      </c>
      <c r="C110" s="496">
        <f>IF(D94="","-",+C109+1)</f>
        <v>2027</v>
      </c>
      <c r="D110" s="350">
        <f>IF(F109+SUM(E$100:E109)=D$93,F109,D$93-SUM(E$100:E109))</f>
        <v>53884768.525363401</v>
      </c>
      <c r="E110" s="510">
        <f t="shared" si="28"/>
        <v>4640032.9084210526</v>
      </c>
      <c r="F110" s="511">
        <f t="shared" si="29"/>
        <v>49244735.616942346</v>
      </c>
      <c r="G110" s="511">
        <f t="shared" si="30"/>
        <v>51564752.071152873</v>
      </c>
      <c r="H110" s="645">
        <f t="shared" si="31"/>
        <v>10293291.197307754</v>
      </c>
      <c r="I110" s="628">
        <f t="shared" si="32"/>
        <v>10293291.197307754</v>
      </c>
      <c r="J110" s="505">
        <f t="shared" si="22"/>
        <v>0</v>
      </c>
      <c r="K110" s="505"/>
      <c r="L110" s="513"/>
      <c r="M110" s="505">
        <f t="shared" si="23"/>
        <v>0</v>
      </c>
      <c r="N110" s="513"/>
      <c r="O110" s="505">
        <f t="shared" si="24"/>
        <v>0</v>
      </c>
      <c r="P110" s="505">
        <f t="shared" si="25"/>
        <v>0</v>
      </c>
    </row>
    <row r="111" spans="1:16" ht="12.5">
      <c r="B111" s="145" t="str">
        <f t="shared" si="21"/>
        <v/>
      </c>
      <c r="C111" s="496">
        <f>IF(D94="","-",+C110+1)</f>
        <v>2028</v>
      </c>
      <c r="D111" s="350">
        <f>IF(F110+SUM(E$100:E110)=D$93,F110,D$93-SUM(E$100:E110))</f>
        <v>49244735.616942346</v>
      </c>
      <c r="E111" s="510">
        <f t="shared" si="28"/>
        <v>4640032.9084210526</v>
      </c>
      <c r="F111" s="511">
        <f t="shared" si="29"/>
        <v>44604702.708521292</v>
      </c>
      <c r="G111" s="511">
        <f t="shared" si="30"/>
        <v>46924719.162731819</v>
      </c>
      <c r="H111" s="645">
        <f t="shared" si="31"/>
        <v>9784585.0861246251</v>
      </c>
      <c r="I111" s="628">
        <f t="shared" si="32"/>
        <v>9784585.0861246251</v>
      </c>
      <c r="J111" s="505">
        <f t="shared" si="22"/>
        <v>0</v>
      </c>
      <c r="K111" s="505"/>
      <c r="L111" s="513"/>
      <c r="M111" s="505">
        <f t="shared" si="23"/>
        <v>0</v>
      </c>
      <c r="N111" s="513"/>
      <c r="O111" s="505">
        <f t="shared" si="24"/>
        <v>0</v>
      </c>
      <c r="P111" s="505">
        <f t="shared" si="25"/>
        <v>0</v>
      </c>
    </row>
    <row r="112" spans="1:16" ht="12.5">
      <c r="B112" s="145" t="str">
        <f t="shared" si="21"/>
        <v/>
      </c>
      <c r="C112" s="496">
        <f>IF(D94="","-",+C111+1)</f>
        <v>2029</v>
      </c>
      <c r="D112" s="350">
        <f>IF(F111+SUM(E$100:E111)=D$93,F111,D$93-SUM(E$100:E111))</f>
        <v>44604702.708521292</v>
      </c>
      <c r="E112" s="510">
        <f t="shared" si="28"/>
        <v>4640032.9084210526</v>
      </c>
      <c r="F112" s="511">
        <f t="shared" si="29"/>
        <v>39964669.800100237</v>
      </c>
      <c r="G112" s="511">
        <f t="shared" si="30"/>
        <v>42284686.254310764</v>
      </c>
      <c r="H112" s="645">
        <f t="shared" si="31"/>
        <v>9275878.9749414958</v>
      </c>
      <c r="I112" s="628">
        <f t="shared" si="32"/>
        <v>9275878.9749414958</v>
      </c>
      <c r="J112" s="505">
        <f t="shared" si="22"/>
        <v>0</v>
      </c>
      <c r="K112" s="505"/>
      <c r="L112" s="513"/>
      <c r="M112" s="505">
        <f t="shared" si="23"/>
        <v>0</v>
      </c>
      <c r="N112" s="513"/>
      <c r="O112" s="505">
        <f t="shared" si="24"/>
        <v>0</v>
      </c>
      <c r="P112" s="505">
        <f t="shared" si="25"/>
        <v>0</v>
      </c>
    </row>
    <row r="113" spans="2:16" ht="12.5">
      <c r="B113" s="145" t="str">
        <f t="shared" si="21"/>
        <v/>
      </c>
      <c r="C113" s="496">
        <f>IF(D94="","-",+C112+1)</f>
        <v>2030</v>
      </c>
      <c r="D113" s="350">
        <f>IF(F112+SUM(E$100:E112)=D$93,F112,D$93-SUM(E$100:E112))</f>
        <v>39964669.800100237</v>
      </c>
      <c r="E113" s="510">
        <f t="shared" si="28"/>
        <v>4640032.9084210526</v>
      </c>
      <c r="F113" s="511">
        <f t="shared" si="29"/>
        <v>35324636.891679183</v>
      </c>
      <c r="G113" s="511">
        <f t="shared" si="30"/>
        <v>37644653.34588971</v>
      </c>
      <c r="H113" s="645">
        <f t="shared" si="31"/>
        <v>8767172.8637583666</v>
      </c>
      <c r="I113" s="628">
        <f t="shared" si="32"/>
        <v>8767172.8637583666</v>
      </c>
      <c r="J113" s="505">
        <f t="shared" si="22"/>
        <v>0</v>
      </c>
      <c r="K113" s="505"/>
      <c r="L113" s="513"/>
      <c r="M113" s="505">
        <f t="shared" si="23"/>
        <v>0</v>
      </c>
      <c r="N113" s="513"/>
      <c r="O113" s="505">
        <f t="shared" si="24"/>
        <v>0</v>
      </c>
      <c r="P113" s="505">
        <f t="shared" si="25"/>
        <v>0</v>
      </c>
    </row>
    <row r="114" spans="2:16" ht="12.5">
      <c r="B114" s="145" t="str">
        <f t="shared" si="21"/>
        <v/>
      </c>
      <c r="C114" s="496">
        <f>IF(D94="","-",+C113+1)</f>
        <v>2031</v>
      </c>
      <c r="D114" s="350">
        <f>IF(F113+SUM(E$100:E113)=D$93,F113,D$93-SUM(E$100:E113))</f>
        <v>35324636.891679183</v>
      </c>
      <c r="E114" s="510">
        <f t="shared" si="28"/>
        <v>4640032.9084210526</v>
      </c>
      <c r="F114" s="511">
        <f t="shared" si="29"/>
        <v>30684603.983258128</v>
      </c>
      <c r="G114" s="511">
        <f t="shared" si="30"/>
        <v>33004620.437468655</v>
      </c>
      <c r="H114" s="645">
        <f t="shared" si="31"/>
        <v>8258466.7525752373</v>
      </c>
      <c r="I114" s="628">
        <f t="shared" si="32"/>
        <v>8258466.7525752373</v>
      </c>
      <c r="J114" s="505">
        <f t="shared" si="22"/>
        <v>0</v>
      </c>
      <c r="K114" s="505"/>
      <c r="L114" s="513"/>
      <c r="M114" s="505">
        <f t="shared" si="23"/>
        <v>0</v>
      </c>
      <c r="N114" s="513"/>
      <c r="O114" s="505">
        <f t="shared" si="24"/>
        <v>0</v>
      </c>
      <c r="P114" s="505">
        <f t="shared" si="25"/>
        <v>0</v>
      </c>
    </row>
    <row r="115" spans="2:16" ht="12.5">
      <c r="B115" s="145" t="str">
        <f t="shared" si="21"/>
        <v/>
      </c>
      <c r="C115" s="496">
        <f>IF(D94="","-",+C114+1)</f>
        <v>2032</v>
      </c>
      <c r="D115" s="350">
        <f>IF(F114+SUM(E$100:E114)=D$93,F114,D$93-SUM(E$100:E114))</f>
        <v>30684603.983258128</v>
      </c>
      <c r="E115" s="510">
        <f t="shared" si="28"/>
        <v>4640032.9084210526</v>
      </c>
      <c r="F115" s="511">
        <f t="shared" si="29"/>
        <v>26044571.074837074</v>
      </c>
      <c r="G115" s="511">
        <f t="shared" si="30"/>
        <v>28364587.529047601</v>
      </c>
      <c r="H115" s="645">
        <f t="shared" si="31"/>
        <v>7749760.6413921081</v>
      </c>
      <c r="I115" s="628">
        <f t="shared" si="32"/>
        <v>7749760.6413921081</v>
      </c>
      <c r="J115" s="505">
        <f t="shared" si="22"/>
        <v>0</v>
      </c>
      <c r="K115" s="505"/>
      <c r="L115" s="513"/>
      <c r="M115" s="505">
        <f t="shared" si="23"/>
        <v>0</v>
      </c>
      <c r="N115" s="513"/>
      <c r="O115" s="505">
        <f t="shared" si="24"/>
        <v>0</v>
      </c>
      <c r="P115" s="505">
        <f t="shared" si="25"/>
        <v>0</v>
      </c>
    </row>
    <row r="116" spans="2:16" ht="12.5">
      <c r="B116" s="145" t="str">
        <f t="shared" si="21"/>
        <v/>
      </c>
      <c r="C116" s="496">
        <f>IF(D94="","-",+C115+1)</f>
        <v>2033</v>
      </c>
      <c r="D116" s="350">
        <f>IF(F115+SUM(E$100:E115)=D$93,F115,D$93-SUM(E$100:E115))</f>
        <v>26044571.074837074</v>
      </c>
      <c r="E116" s="510">
        <f t="shared" si="28"/>
        <v>4640032.9084210526</v>
      </c>
      <c r="F116" s="511">
        <f t="shared" si="29"/>
        <v>21404538.166416019</v>
      </c>
      <c r="G116" s="511">
        <f t="shared" si="30"/>
        <v>23724554.620626546</v>
      </c>
      <c r="H116" s="645">
        <f t="shared" si="31"/>
        <v>7241054.5302089779</v>
      </c>
      <c r="I116" s="628">
        <f t="shared" si="32"/>
        <v>7241054.5302089779</v>
      </c>
      <c r="J116" s="505">
        <f t="shared" si="22"/>
        <v>0</v>
      </c>
      <c r="K116" s="505"/>
      <c r="L116" s="513"/>
      <c r="M116" s="505">
        <f t="shared" si="23"/>
        <v>0</v>
      </c>
      <c r="N116" s="513"/>
      <c r="O116" s="505">
        <f t="shared" si="24"/>
        <v>0</v>
      </c>
      <c r="P116" s="505">
        <f t="shared" si="25"/>
        <v>0</v>
      </c>
    </row>
    <row r="117" spans="2:16" ht="12.5">
      <c r="B117" s="145" t="str">
        <f t="shared" si="21"/>
        <v/>
      </c>
      <c r="C117" s="496">
        <f>IF(D94="","-",+C116+1)</f>
        <v>2034</v>
      </c>
      <c r="D117" s="350">
        <f>IF(F116+SUM(E$100:E116)=D$93,F116,D$93-SUM(E$100:E116))</f>
        <v>21404538.166416019</v>
      </c>
      <c r="E117" s="510">
        <f t="shared" si="28"/>
        <v>4640032.9084210526</v>
      </c>
      <c r="F117" s="511">
        <f t="shared" si="29"/>
        <v>16764505.257994967</v>
      </c>
      <c r="G117" s="511">
        <f t="shared" si="30"/>
        <v>19084521.712205492</v>
      </c>
      <c r="H117" s="645">
        <f t="shared" si="31"/>
        <v>6732348.4190258486</v>
      </c>
      <c r="I117" s="628">
        <f t="shared" si="32"/>
        <v>6732348.4190258486</v>
      </c>
      <c r="J117" s="505">
        <f t="shared" si="22"/>
        <v>0</v>
      </c>
      <c r="K117" s="505"/>
      <c r="L117" s="513"/>
      <c r="M117" s="505">
        <f t="shared" si="23"/>
        <v>0</v>
      </c>
      <c r="N117" s="513"/>
      <c r="O117" s="505">
        <f t="shared" si="24"/>
        <v>0</v>
      </c>
      <c r="P117" s="505">
        <f t="shared" si="25"/>
        <v>0</v>
      </c>
    </row>
    <row r="118" spans="2:16" ht="12.5">
      <c r="B118" s="145" t="str">
        <f t="shared" si="21"/>
        <v/>
      </c>
      <c r="C118" s="496">
        <f>IF(D94="","-",+C117+1)</f>
        <v>2035</v>
      </c>
      <c r="D118" s="350">
        <f>IF(F117+SUM(E$100:E117)=D$93,F117,D$93-SUM(E$100:E117))</f>
        <v>16764505.257994967</v>
      </c>
      <c r="E118" s="510">
        <f t="shared" si="28"/>
        <v>4640032.9084210526</v>
      </c>
      <c r="F118" s="511">
        <f t="shared" si="29"/>
        <v>12124472.349573914</v>
      </c>
      <c r="G118" s="511">
        <f t="shared" si="30"/>
        <v>14444488.803784441</v>
      </c>
      <c r="H118" s="645">
        <f t="shared" si="31"/>
        <v>6223642.3078427194</v>
      </c>
      <c r="I118" s="628">
        <f t="shared" si="32"/>
        <v>6223642.3078427194</v>
      </c>
      <c r="J118" s="505">
        <f t="shared" si="22"/>
        <v>0</v>
      </c>
      <c r="K118" s="505"/>
      <c r="L118" s="513"/>
      <c r="M118" s="505">
        <f t="shared" si="23"/>
        <v>0</v>
      </c>
      <c r="N118" s="513"/>
      <c r="O118" s="505">
        <f t="shared" si="24"/>
        <v>0</v>
      </c>
      <c r="P118" s="505">
        <f t="shared" si="25"/>
        <v>0</v>
      </c>
    </row>
    <row r="119" spans="2:16" ht="12.5">
      <c r="B119" s="145" t="str">
        <f t="shared" si="21"/>
        <v/>
      </c>
      <c r="C119" s="496">
        <f>IF(D94="","-",+C118+1)</f>
        <v>2036</v>
      </c>
      <c r="D119" s="350">
        <f>IF(F118+SUM(E$100:E118)=D$93,F118,D$93-SUM(E$100:E118))</f>
        <v>12124472.349573914</v>
      </c>
      <c r="E119" s="510">
        <f t="shared" si="28"/>
        <v>4640032.9084210526</v>
      </c>
      <c r="F119" s="511">
        <f t="shared" si="29"/>
        <v>7484439.4411528613</v>
      </c>
      <c r="G119" s="511">
        <f t="shared" si="30"/>
        <v>9804455.8953633867</v>
      </c>
      <c r="H119" s="645">
        <f t="shared" si="31"/>
        <v>5714936.1966595901</v>
      </c>
      <c r="I119" s="628">
        <f t="shared" si="32"/>
        <v>5714936.1966595901</v>
      </c>
      <c r="J119" s="505">
        <f t="shared" si="22"/>
        <v>0</v>
      </c>
      <c r="K119" s="505"/>
      <c r="L119" s="513"/>
      <c r="M119" s="505">
        <f t="shared" si="23"/>
        <v>0</v>
      </c>
      <c r="N119" s="513"/>
      <c r="O119" s="505">
        <f t="shared" si="24"/>
        <v>0</v>
      </c>
      <c r="P119" s="505">
        <f t="shared" si="25"/>
        <v>0</v>
      </c>
    </row>
    <row r="120" spans="2:16" ht="12.5">
      <c r="B120" s="145" t="str">
        <f t="shared" si="21"/>
        <v/>
      </c>
      <c r="C120" s="496">
        <f>IF(D94="","-",+C119+1)</f>
        <v>2037</v>
      </c>
      <c r="D120" s="350">
        <f>IF(F119+SUM(E$100:E119)=D$93,F119,D$93-SUM(E$100:E119))</f>
        <v>7484439.4411528613</v>
      </c>
      <c r="E120" s="510">
        <f t="shared" si="28"/>
        <v>4640032.9084210526</v>
      </c>
      <c r="F120" s="511">
        <f t="shared" si="29"/>
        <v>2844406.5327318087</v>
      </c>
      <c r="G120" s="511">
        <f t="shared" si="30"/>
        <v>5164422.986942335</v>
      </c>
      <c r="H120" s="645">
        <f t="shared" si="31"/>
        <v>5206230.0854764609</v>
      </c>
      <c r="I120" s="628">
        <f t="shared" si="32"/>
        <v>5206230.0854764609</v>
      </c>
      <c r="J120" s="505">
        <f t="shared" si="22"/>
        <v>0</v>
      </c>
      <c r="K120" s="505"/>
      <c r="L120" s="513"/>
      <c r="M120" s="505">
        <f t="shared" si="23"/>
        <v>0</v>
      </c>
      <c r="N120" s="513"/>
      <c r="O120" s="505">
        <f t="shared" si="24"/>
        <v>0</v>
      </c>
      <c r="P120" s="505">
        <f t="shared" si="25"/>
        <v>0</v>
      </c>
    </row>
    <row r="121" spans="2:16" ht="12.5">
      <c r="B121" s="145" t="str">
        <f t="shared" si="21"/>
        <v/>
      </c>
      <c r="C121" s="496">
        <f>IF(D94="","-",+C120+1)</f>
        <v>2038</v>
      </c>
      <c r="D121" s="350">
        <f>IF(F120+SUM(E$100:E120)=D$93,F120,D$93-SUM(E$100:E120))</f>
        <v>2844406.5327318087</v>
      </c>
      <c r="E121" s="510">
        <f t="shared" si="28"/>
        <v>2844406.5327318087</v>
      </c>
      <c r="F121" s="511">
        <f t="shared" si="29"/>
        <v>0</v>
      </c>
      <c r="G121" s="511">
        <f t="shared" si="30"/>
        <v>1422203.2663659044</v>
      </c>
      <c r="H121" s="645">
        <f t="shared" si="31"/>
        <v>3000328.5934637305</v>
      </c>
      <c r="I121" s="628">
        <f t="shared" si="32"/>
        <v>3000328.5934637305</v>
      </c>
      <c r="J121" s="505">
        <f t="shared" si="22"/>
        <v>0</v>
      </c>
      <c r="K121" s="505"/>
      <c r="L121" s="513"/>
      <c r="M121" s="505">
        <f t="shared" si="23"/>
        <v>0</v>
      </c>
      <c r="N121" s="513"/>
      <c r="O121" s="505">
        <f t="shared" si="24"/>
        <v>0</v>
      </c>
      <c r="P121" s="505">
        <f t="shared" si="25"/>
        <v>0</v>
      </c>
    </row>
    <row r="122" spans="2:16" ht="12.5">
      <c r="B122" s="145" t="str">
        <f t="shared" si="21"/>
        <v/>
      </c>
      <c r="C122" s="496">
        <f>IF(D94="","-",+C121+1)</f>
        <v>2039</v>
      </c>
      <c r="D122" s="350">
        <f>IF(F121+SUM(E$100:E121)=D$93,F121,D$93-SUM(E$100:E121))</f>
        <v>0</v>
      </c>
      <c r="E122" s="510">
        <f t="shared" si="28"/>
        <v>0</v>
      </c>
      <c r="F122" s="511">
        <f t="shared" si="29"/>
        <v>0</v>
      </c>
      <c r="G122" s="511">
        <f t="shared" si="30"/>
        <v>0</v>
      </c>
      <c r="H122" s="645">
        <f t="shared" si="31"/>
        <v>0</v>
      </c>
      <c r="I122" s="628">
        <f t="shared" si="32"/>
        <v>0</v>
      </c>
      <c r="J122" s="505">
        <f t="shared" si="22"/>
        <v>0</v>
      </c>
      <c r="K122" s="505"/>
      <c r="L122" s="513"/>
      <c r="M122" s="505">
        <f t="shared" si="23"/>
        <v>0</v>
      </c>
      <c r="N122" s="513"/>
      <c r="O122" s="505">
        <f t="shared" si="24"/>
        <v>0</v>
      </c>
      <c r="P122" s="505">
        <f t="shared" si="25"/>
        <v>0</v>
      </c>
    </row>
    <row r="123" spans="2:16" ht="12.5">
      <c r="B123" s="145" t="str">
        <f t="shared" si="21"/>
        <v/>
      </c>
      <c r="C123" s="496">
        <f>IF(D94="","-",+C122+1)</f>
        <v>2040</v>
      </c>
      <c r="D123" s="350">
        <f>IF(F122+SUM(E$100:E122)=D$93,F122,D$93-SUM(E$100:E122))</f>
        <v>0</v>
      </c>
      <c r="E123" s="510">
        <f t="shared" si="28"/>
        <v>0</v>
      </c>
      <c r="F123" s="511">
        <f t="shared" si="29"/>
        <v>0</v>
      </c>
      <c r="G123" s="511">
        <f t="shared" si="30"/>
        <v>0</v>
      </c>
      <c r="H123" s="645">
        <f t="shared" si="31"/>
        <v>0</v>
      </c>
      <c r="I123" s="628">
        <f t="shared" si="32"/>
        <v>0</v>
      </c>
      <c r="J123" s="505">
        <f t="shared" si="22"/>
        <v>0</v>
      </c>
      <c r="K123" s="505"/>
      <c r="L123" s="513"/>
      <c r="M123" s="505">
        <f t="shared" si="23"/>
        <v>0</v>
      </c>
      <c r="N123" s="513"/>
      <c r="O123" s="505">
        <f t="shared" si="24"/>
        <v>0</v>
      </c>
      <c r="P123" s="505">
        <f t="shared" si="25"/>
        <v>0</v>
      </c>
    </row>
    <row r="124" spans="2:16" ht="12.5">
      <c r="B124" s="145" t="str">
        <f t="shared" si="21"/>
        <v/>
      </c>
      <c r="C124" s="496">
        <f>IF(D94="","-",+C123+1)</f>
        <v>2041</v>
      </c>
      <c r="D124" s="350">
        <f>IF(F123+SUM(E$100:E123)=D$93,F123,D$93-SUM(E$100:E123))</f>
        <v>0</v>
      </c>
      <c r="E124" s="510">
        <f t="shared" si="28"/>
        <v>0</v>
      </c>
      <c r="F124" s="511">
        <f t="shared" si="29"/>
        <v>0</v>
      </c>
      <c r="G124" s="511">
        <f t="shared" si="30"/>
        <v>0</v>
      </c>
      <c r="H124" s="645">
        <f t="shared" si="31"/>
        <v>0</v>
      </c>
      <c r="I124" s="628">
        <f t="shared" si="32"/>
        <v>0</v>
      </c>
      <c r="J124" s="505">
        <f t="shared" si="22"/>
        <v>0</v>
      </c>
      <c r="K124" s="505"/>
      <c r="L124" s="513"/>
      <c r="M124" s="505">
        <f t="shared" si="23"/>
        <v>0</v>
      </c>
      <c r="N124" s="513"/>
      <c r="O124" s="505">
        <f t="shared" si="24"/>
        <v>0</v>
      </c>
      <c r="P124" s="505">
        <f t="shared" si="25"/>
        <v>0</v>
      </c>
    </row>
    <row r="125" spans="2:16" ht="12.5">
      <c r="B125" s="145" t="str">
        <f t="shared" si="21"/>
        <v/>
      </c>
      <c r="C125" s="496">
        <f>IF(D94="","-",+C124+1)</f>
        <v>2042</v>
      </c>
      <c r="D125" s="350">
        <f>IF(F124+SUM(E$100:E124)=D$93,F124,D$93-SUM(E$100:E124))</f>
        <v>0</v>
      </c>
      <c r="E125" s="510">
        <f t="shared" si="28"/>
        <v>0</v>
      </c>
      <c r="F125" s="511">
        <f t="shared" si="29"/>
        <v>0</v>
      </c>
      <c r="G125" s="511">
        <f t="shared" si="30"/>
        <v>0</v>
      </c>
      <c r="H125" s="645">
        <f t="shared" si="31"/>
        <v>0</v>
      </c>
      <c r="I125" s="628">
        <f t="shared" si="32"/>
        <v>0</v>
      </c>
      <c r="J125" s="505">
        <f t="shared" si="22"/>
        <v>0</v>
      </c>
      <c r="K125" s="505"/>
      <c r="L125" s="513"/>
      <c r="M125" s="505">
        <f t="shared" si="23"/>
        <v>0</v>
      </c>
      <c r="N125" s="513"/>
      <c r="O125" s="505">
        <f t="shared" si="24"/>
        <v>0</v>
      </c>
      <c r="P125" s="505">
        <f t="shared" si="25"/>
        <v>0</v>
      </c>
    </row>
    <row r="126" spans="2:16" ht="12.5">
      <c r="B126" s="145" t="str">
        <f t="shared" si="21"/>
        <v/>
      </c>
      <c r="C126" s="496">
        <f>IF(D94="","-",+C125+1)</f>
        <v>2043</v>
      </c>
      <c r="D126" s="350">
        <f>IF(F125+SUM(E$100:E125)=D$93,F125,D$93-SUM(E$100:E125))</f>
        <v>0</v>
      </c>
      <c r="E126" s="510">
        <f t="shared" si="28"/>
        <v>0</v>
      </c>
      <c r="F126" s="511">
        <f t="shared" si="29"/>
        <v>0</v>
      </c>
      <c r="G126" s="511">
        <f t="shared" si="30"/>
        <v>0</v>
      </c>
      <c r="H126" s="645">
        <f t="shared" si="31"/>
        <v>0</v>
      </c>
      <c r="I126" s="628">
        <f t="shared" si="32"/>
        <v>0</v>
      </c>
      <c r="J126" s="505">
        <f t="shared" si="22"/>
        <v>0</v>
      </c>
      <c r="K126" s="505"/>
      <c r="L126" s="513"/>
      <c r="M126" s="505">
        <f t="shared" si="23"/>
        <v>0</v>
      </c>
      <c r="N126" s="513"/>
      <c r="O126" s="505">
        <f t="shared" si="24"/>
        <v>0</v>
      </c>
      <c r="P126" s="505">
        <f t="shared" si="25"/>
        <v>0</v>
      </c>
    </row>
    <row r="127" spans="2:16" ht="12.5">
      <c r="B127" s="145" t="str">
        <f t="shared" si="21"/>
        <v/>
      </c>
      <c r="C127" s="496">
        <f>IF(D94="","-",+C126+1)</f>
        <v>2044</v>
      </c>
      <c r="D127" s="350">
        <f>IF(F126+SUM(E$100:E126)=D$93,F126,D$93-SUM(E$100:E126))</f>
        <v>0</v>
      </c>
      <c r="E127" s="510">
        <f t="shared" si="28"/>
        <v>0</v>
      </c>
      <c r="F127" s="511">
        <f t="shared" si="29"/>
        <v>0</v>
      </c>
      <c r="G127" s="511">
        <f t="shared" si="30"/>
        <v>0</v>
      </c>
      <c r="H127" s="645">
        <f t="shared" si="31"/>
        <v>0</v>
      </c>
      <c r="I127" s="628">
        <f t="shared" si="32"/>
        <v>0</v>
      </c>
      <c r="J127" s="505">
        <f t="shared" si="22"/>
        <v>0</v>
      </c>
      <c r="K127" s="505"/>
      <c r="L127" s="513"/>
      <c r="M127" s="505">
        <f t="shared" si="23"/>
        <v>0</v>
      </c>
      <c r="N127" s="513"/>
      <c r="O127" s="505">
        <f t="shared" si="24"/>
        <v>0</v>
      </c>
      <c r="P127" s="505">
        <f t="shared" si="25"/>
        <v>0</v>
      </c>
    </row>
    <row r="128" spans="2:16" ht="12.5">
      <c r="B128" s="145" t="str">
        <f t="shared" si="21"/>
        <v/>
      </c>
      <c r="C128" s="496">
        <f>IF(D94="","-",+C127+1)</f>
        <v>2045</v>
      </c>
      <c r="D128" s="350">
        <f>IF(F127+SUM(E$100:E127)=D$93,F127,D$93-SUM(E$100:E127))</f>
        <v>0</v>
      </c>
      <c r="E128" s="510">
        <f t="shared" si="28"/>
        <v>0</v>
      </c>
      <c r="F128" s="511">
        <f t="shared" si="29"/>
        <v>0</v>
      </c>
      <c r="G128" s="511">
        <f t="shared" si="30"/>
        <v>0</v>
      </c>
      <c r="H128" s="645">
        <f t="shared" si="31"/>
        <v>0</v>
      </c>
      <c r="I128" s="628">
        <f t="shared" si="32"/>
        <v>0</v>
      </c>
      <c r="J128" s="505">
        <f t="shared" si="22"/>
        <v>0</v>
      </c>
      <c r="K128" s="505"/>
      <c r="L128" s="513"/>
      <c r="M128" s="505">
        <f t="shared" si="23"/>
        <v>0</v>
      </c>
      <c r="N128" s="513"/>
      <c r="O128" s="505">
        <f t="shared" si="24"/>
        <v>0</v>
      </c>
      <c r="P128" s="505">
        <f t="shared" si="25"/>
        <v>0</v>
      </c>
    </row>
    <row r="129" spans="2:16" ht="12.5">
      <c r="B129" s="145" t="str">
        <f t="shared" si="21"/>
        <v/>
      </c>
      <c r="C129" s="496">
        <f>IF(D94="","-",+C128+1)</f>
        <v>2046</v>
      </c>
      <c r="D129" s="350">
        <f>IF(F128+SUM(E$100:E128)=D$93,F128,D$93-SUM(E$100:E128))</f>
        <v>0</v>
      </c>
      <c r="E129" s="510">
        <f t="shared" si="28"/>
        <v>0</v>
      </c>
      <c r="F129" s="511">
        <f t="shared" si="29"/>
        <v>0</v>
      </c>
      <c r="G129" s="511">
        <f t="shared" si="30"/>
        <v>0</v>
      </c>
      <c r="H129" s="645">
        <f t="shared" si="31"/>
        <v>0</v>
      </c>
      <c r="I129" s="628">
        <f t="shared" si="32"/>
        <v>0</v>
      </c>
      <c r="J129" s="505">
        <f t="shared" si="22"/>
        <v>0</v>
      </c>
      <c r="K129" s="505"/>
      <c r="L129" s="513"/>
      <c r="M129" s="505">
        <f t="shared" si="23"/>
        <v>0</v>
      </c>
      <c r="N129" s="513"/>
      <c r="O129" s="505">
        <f t="shared" si="24"/>
        <v>0</v>
      </c>
      <c r="P129" s="505">
        <f t="shared" si="25"/>
        <v>0</v>
      </c>
    </row>
    <row r="130" spans="2:16" ht="12.5">
      <c r="B130" s="145" t="str">
        <f t="shared" si="21"/>
        <v/>
      </c>
      <c r="C130" s="496">
        <f>IF(D94="","-",+C129+1)</f>
        <v>2047</v>
      </c>
      <c r="D130" s="350">
        <f>IF(F129+SUM(E$100:E129)=D$93,F129,D$93-SUM(E$100:E129))</f>
        <v>0</v>
      </c>
      <c r="E130" s="510">
        <f t="shared" si="28"/>
        <v>0</v>
      </c>
      <c r="F130" s="511">
        <f t="shared" si="29"/>
        <v>0</v>
      </c>
      <c r="G130" s="511">
        <f t="shared" si="30"/>
        <v>0</v>
      </c>
      <c r="H130" s="645">
        <f t="shared" si="31"/>
        <v>0</v>
      </c>
      <c r="I130" s="628">
        <f t="shared" si="32"/>
        <v>0</v>
      </c>
      <c r="J130" s="505">
        <f t="shared" si="22"/>
        <v>0</v>
      </c>
      <c r="K130" s="505"/>
      <c r="L130" s="513"/>
      <c r="M130" s="505">
        <f t="shared" si="23"/>
        <v>0</v>
      </c>
      <c r="N130" s="513"/>
      <c r="O130" s="505">
        <f t="shared" si="24"/>
        <v>0</v>
      </c>
      <c r="P130" s="505">
        <f t="shared" si="25"/>
        <v>0</v>
      </c>
    </row>
    <row r="131" spans="2:16" ht="12.5">
      <c r="B131" s="145" t="str">
        <f t="shared" si="21"/>
        <v/>
      </c>
      <c r="C131" s="496">
        <f>IF(D94="","-",+C130+1)</f>
        <v>2048</v>
      </c>
      <c r="D131" s="350">
        <f>IF(F130+SUM(E$100:E130)=D$93,F130,D$93-SUM(E$100:E130))</f>
        <v>0</v>
      </c>
      <c r="E131" s="510">
        <f t="shared" si="28"/>
        <v>0</v>
      </c>
      <c r="F131" s="511">
        <f t="shared" si="29"/>
        <v>0</v>
      </c>
      <c r="G131" s="511">
        <f t="shared" si="30"/>
        <v>0</v>
      </c>
      <c r="H131" s="645">
        <f t="shared" si="31"/>
        <v>0</v>
      </c>
      <c r="I131" s="628">
        <f t="shared" si="32"/>
        <v>0</v>
      </c>
      <c r="J131" s="505">
        <f t="shared" si="22"/>
        <v>0</v>
      </c>
      <c r="K131" s="505"/>
      <c r="L131" s="513"/>
      <c r="M131" s="505">
        <f t="shared" si="23"/>
        <v>0</v>
      </c>
      <c r="N131" s="513"/>
      <c r="O131" s="505">
        <f t="shared" si="24"/>
        <v>0</v>
      </c>
      <c r="P131" s="505">
        <f t="shared" si="25"/>
        <v>0</v>
      </c>
    </row>
    <row r="132" spans="2:16" ht="12.5">
      <c r="B132" s="145" t="str">
        <f t="shared" si="21"/>
        <v/>
      </c>
      <c r="C132" s="496">
        <f>IF(D94="","-",+C131+1)</f>
        <v>2049</v>
      </c>
      <c r="D132" s="350">
        <f>IF(F131+SUM(E$100:E131)=D$93,F131,D$93-SUM(E$100:E131))</f>
        <v>0</v>
      </c>
      <c r="E132" s="510">
        <f t="shared" si="28"/>
        <v>0</v>
      </c>
      <c r="F132" s="511">
        <f t="shared" ref="F132:F155" si="33">+D132-E132</f>
        <v>0</v>
      </c>
      <c r="G132" s="511">
        <f t="shared" ref="G132:G155" si="34">+(F132+D132)/2</f>
        <v>0</v>
      </c>
      <c r="H132" s="645">
        <f t="shared" si="31"/>
        <v>0</v>
      </c>
      <c r="I132" s="628">
        <f t="shared" si="32"/>
        <v>0</v>
      </c>
      <c r="J132" s="505">
        <f t="shared" ref="J132:J155" si="35">+I542-H542</f>
        <v>0</v>
      </c>
      <c r="K132" s="505"/>
      <c r="L132" s="513"/>
      <c r="M132" s="505">
        <f t="shared" ref="M132:M155" si="36">IF(L542&lt;&gt;0,+H542-L542,0)</f>
        <v>0</v>
      </c>
      <c r="N132" s="513"/>
      <c r="O132" s="505">
        <f t="shared" ref="O132:O155" si="37">IF(N542&lt;&gt;0,+I542-N542,0)</f>
        <v>0</v>
      </c>
      <c r="P132" s="505">
        <f t="shared" ref="P132:P155" si="38">+O542-M542</f>
        <v>0</v>
      </c>
    </row>
    <row r="133" spans="2:16" ht="12.5">
      <c r="B133" s="145" t="str">
        <f t="shared" si="21"/>
        <v/>
      </c>
      <c r="C133" s="496">
        <f>IF(D94="","-",+C132+1)</f>
        <v>2050</v>
      </c>
      <c r="D133" s="350">
        <f>IF(F132+SUM(E$100:E132)=D$93,F132,D$93-SUM(E$100:E132))</f>
        <v>0</v>
      </c>
      <c r="E133" s="510">
        <f t="shared" ref="E133:E155" si="39">IF(+J$97&lt;F132,J$97,D133)</f>
        <v>0</v>
      </c>
      <c r="F133" s="511">
        <f t="shared" si="33"/>
        <v>0</v>
      </c>
      <c r="G133" s="511">
        <f t="shared" si="34"/>
        <v>0</v>
      </c>
      <c r="H133" s="645">
        <f t="shared" si="31"/>
        <v>0</v>
      </c>
      <c r="I133" s="628">
        <f t="shared" si="32"/>
        <v>0</v>
      </c>
      <c r="J133" s="505">
        <f t="shared" si="35"/>
        <v>0</v>
      </c>
      <c r="K133" s="505"/>
      <c r="L133" s="513"/>
      <c r="M133" s="505">
        <f t="shared" si="36"/>
        <v>0</v>
      </c>
      <c r="N133" s="513"/>
      <c r="O133" s="505">
        <f t="shared" si="37"/>
        <v>0</v>
      </c>
      <c r="P133" s="505">
        <f t="shared" si="38"/>
        <v>0</v>
      </c>
    </row>
    <row r="134" spans="2:16" ht="12.5">
      <c r="B134" s="145" t="str">
        <f t="shared" si="21"/>
        <v/>
      </c>
      <c r="C134" s="496">
        <f>IF(D94="","-",+C133+1)</f>
        <v>2051</v>
      </c>
      <c r="D134" s="350">
        <f>IF(F133+SUM(E$100:E133)=D$93,F133,D$93-SUM(E$100:E133))</f>
        <v>0</v>
      </c>
      <c r="E134" s="510">
        <f t="shared" si="39"/>
        <v>0</v>
      </c>
      <c r="F134" s="511">
        <f t="shared" si="33"/>
        <v>0</v>
      </c>
      <c r="G134" s="511">
        <f t="shared" si="34"/>
        <v>0</v>
      </c>
      <c r="H134" s="645">
        <f t="shared" si="31"/>
        <v>0</v>
      </c>
      <c r="I134" s="628">
        <f t="shared" si="32"/>
        <v>0</v>
      </c>
      <c r="J134" s="505">
        <f t="shared" si="35"/>
        <v>0</v>
      </c>
      <c r="K134" s="505"/>
      <c r="L134" s="513"/>
      <c r="M134" s="505">
        <f t="shared" si="36"/>
        <v>0</v>
      </c>
      <c r="N134" s="513"/>
      <c r="O134" s="505">
        <f t="shared" si="37"/>
        <v>0</v>
      </c>
      <c r="P134" s="505">
        <f t="shared" si="38"/>
        <v>0</v>
      </c>
    </row>
    <row r="135" spans="2:16" ht="12.5">
      <c r="B135" s="145" t="str">
        <f t="shared" si="21"/>
        <v/>
      </c>
      <c r="C135" s="496">
        <f>IF(D94="","-",+C134+1)</f>
        <v>2052</v>
      </c>
      <c r="D135" s="350">
        <f>IF(F134+SUM(E$100:E134)=D$93,F134,D$93-SUM(E$100:E134))</f>
        <v>0</v>
      </c>
      <c r="E135" s="510">
        <f t="shared" si="39"/>
        <v>0</v>
      </c>
      <c r="F135" s="511">
        <f t="shared" si="33"/>
        <v>0</v>
      </c>
      <c r="G135" s="511">
        <f t="shared" si="34"/>
        <v>0</v>
      </c>
      <c r="H135" s="645">
        <f t="shared" si="31"/>
        <v>0</v>
      </c>
      <c r="I135" s="628">
        <f t="shared" si="32"/>
        <v>0</v>
      </c>
      <c r="J135" s="505">
        <f t="shared" si="35"/>
        <v>0</v>
      </c>
      <c r="K135" s="505"/>
      <c r="L135" s="513"/>
      <c r="M135" s="505">
        <f t="shared" si="36"/>
        <v>0</v>
      </c>
      <c r="N135" s="513"/>
      <c r="O135" s="505">
        <f t="shared" si="37"/>
        <v>0</v>
      </c>
      <c r="P135" s="505">
        <f t="shared" si="38"/>
        <v>0</v>
      </c>
    </row>
    <row r="136" spans="2:16" ht="12.5">
      <c r="B136" s="145" t="str">
        <f t="shared" si="21"/>
        <v/>
      </c>
      <c r="C136" s="496">
        <f>IF(D94="","-",+C135+1)</f>
        <v>2053</v>
      </c>
      <c r="D136" s="350">
        <f>IF(F135+SUM(E$100:E135)=D$93,F135,D$93-SUM(E$100:E135))</f>
        <v>0</v>
      </c>
      <c r="E136" s="510">
        <f t="shared" si="39"/>
        <v>0</v>
      </c>
      <c r="F136" s="511">
        <f t="shared" si="33"/>
        <v>0</v>
      </c>
      <c r="G136" s="511">
        <f t="shared" si="34"/>
        <v>0</v>
      </c>
      <c r="H136" s="645">
        <f t="shared" si="31"/>
        <v>0</v>
      </c>
      <c r="I136" s="628">
        <f t="shared" si="32"/>
        <v>0</v>
      </c>
      <c r="J136" s="505">
        <f t="shared" si="35"/>
        <v>0</v>
      </c>
      <c r="K136" s="505"/>
      <c r="L136" s="513"/>
      <c r="M136" s="505">
        <f t="shared" si="36"/>
        <v>0</v>
      </c>
      <c r="N136" s="513"/>
      <c r="O136" s="505">
        <f t="shared" si="37"/>
        <v>0</v>
      </c>
      <c r="P136" s="505">
        <f t="shared" si="38"/>
        <v>0</v>
      </c>
    </row>
    <row r="137" spans="2:16" ht="12.5">
      <c r="B137" s="145" t="str">
        <f t="shared" si="21"/>
        <v/>
      </c>
      <c r="C137" s="496">
        <f>IF(D94="","-",+C136+1)</f>
        <v>2054</v>
      </c>
      <c r="D137" s="350">
        <f>IF(F136+SUM(E$100:E136)=D$93,F136,D$93-SUM(E$100:E136))</f>
        <v>0</v>
      </c>
      <c r="E137" s="510">
        <f t="shared" si="39"/>
        <v>0</v>
      </c>
      <c r="F137" s="511">
        <f t="shared" si="33"/>
        <v>0</v>
      </c>
      <c r="G137" s="511">
        <f t="shared" si="34"/>
        <v>0</v>
      </c>
      <c r="H137" s="645">
        <f t="shared" si="31"/>
        <v>0</v>
      </c>
      <c r="I137" s="628">
        <f t="shared" si="32"/>
        <v>0</v>
      </c>
      <c r="J137" s="505">
        <f t="shared" si="35"/>
        <v>0</v>
      </c>
      <c r="K137" s="505"/>
      <c r="L137" s="513"/>
      <c r="M137" s="505">
        <f t="shared" si="36"/>
        <v>0</v>
      </c>
      <c r="N137" s="513"/>
      <c r="O137" s="505">
        <f t="shared" si="37"/>
        <v>0</v>
      </c>
      <c r="P137" s="505">
        <f t="shared" si="38"/>
        <v>0</v>
      </c>
    </row>
    <row r="138" spans="2:16" ht="12.5">
      <c r="B138" s="145" t="str">
        <f t="shared" si="21"/>
        <v/>
      </c>
      <c r="C138" s="496">
        <f>IF(D94="","-",+C137+1)</f>
        <v>2055</v>
      </c>
      <c r="D138" s="350">
        <f>IF(F137+SUM(E$100:E137)=D$93,F137,D$93-SUM(E$100:E137))</f>
        <v>0</v>
      </c>
      <c r="E138" s="510">
        <f t="shared" si="39"/>
        <v>0</v>
      </c>
      <c r="F138" s="511">
        <f t="shared" si="33"/>
        <v>0</v>
      </c>
      <c r="G138" s="511">
        <f t="shared" si="34"/>
        <v>0</v>
      </c>
      <c r="H138" s="645">
        <f t="shared" si="31"/>
        <v>0</v>
      </c>
      <c r="I138" s="628">
        <f t="shared" si="32"/>
        <v>0</v>
      </c>
      <c r="J138" s="505">
        <f t="shared" si="35"/>
        <v>0</v>
      </c>
      <c r="K138" s="505"/>
      <c r="L138" s="513"/>
      <c r="M138" s="505">
        <f t="shared" si="36"/>
        <v>0</v>
      </c>
      <c r="N138" s="513"/>
      <c r="O138" s="505">
        <f t="shared" si="37"/>
        <v>0</v>
      </c>
      <c r="P138" s="505">
        <f t="shared" si="38"/>
        <v>0</v>
      </c>
    </row>
    <row r="139" spans="2:16" ht="12.5">
      <c r="B139" s="145" t="str">
        <f t="shared" si="21"/>
        <v/>
      </c>
      <c r="C139" s="496">
        <f>IF(D94="","-",+C138+1)</f>
        <v>2056</v>
      </c>
      <c r="D139" s="350">
        <f>IF(F138+SUM(E$100:E138)=D$93,F138,D$93-SUM(E$100:E138))</f>
        <v>0</v>
      </c>
      <c r="E139" s="510">
        <f t="shared" si="39"/>
        <v>0</v>
      </c>
      <c r="F139" s="511">
        <f t="shared" si="33"/>
        <v>0</v>
      </c>
      <c r="G139" s="511">
        <f t="shared" si="34"/>
        <v>0</v>
      </c>
      <c r="H139" s="645">
        <f t="shared" si="31"/>
        <v>0</v>
      </c>
      <c r="I139" s="628">
        <f t="shared" si="32"/>
        <v>0</v>
      </c>
      <c r="J139" s="505">
        <f t="shared" si="35"/>
        <v>0</v>
      </c>
      <c r="K139" s="505"/>
      <c r="L139" s="513"/>
      <c r="M139" s="505">
        <f t="shared" si="36"/>
        <v>0</v>
      </c>
      <c r="N139" s="513"/>
      <c r="O139" s="505">
        <f t="shared" si="37"/>
        <v>0</v>
      </c>
      <c r="P139" s="505">
        <f t="shared" si="38"/>
        <v>0</v>
      </c>
    </row>
    <row r="140" spans="2:16" ht="12.5">
      <c r="B140" s="145" t="str">
        <f t="shared" si="21"/>
        <v/>
      </c>
      <c r="C140" s="496">
        <f>IF(D94="","-",+C139+1)</f>
        <v>2057</v>
      </c>
      <c r="D140" s="350">
        <f>IF(F139+SUM(E$100:E139)=D$93,F139,D$93-SUM(E$100:E139))</f>
        <v>0</v>
      </c>
      <c r="E140" s="510">
        <f t="shared" si="39"/>
        <v>0</v>
      </c>
      <c r="F140" s="511">
        <f t="shared" si="33"/>
        <v>0</v>
      </c>
      <c r="G140" s="511">
        <f t="shared" si="34"/>
        <v>0</v>
      </c>
      <c r="H140" s="645">
        <f t="shared" si="31"/>
        <v>0</v>
      </c>
      <c r="I140" s="628">
        <f t="shared" si="32"/>
        <v>0</v>
      </c>
      <c r="J140" s="505">
        <f t="shared" si="35"/>
        <v>0</v>
      </c>
      <c r="K140" s="505"/>
      <c r="L140" s="513"/>
      <c r="M140" s="505">
        <f t="shared" si="36"/>
        <v>0</v>
      </c>
      <c r="N140" s="513"/>
      <c r="O140" s="505">
        <f t="shared" si="37"/>
        <v>0</v>
      </c>
      <c r="P140" s="505">
        <f t="shared" si="38"/>
        <v>0</v>
      </c>
    </row>
    <row r="141" spans="2:16" ht="12.5">
      <c r="B141" s="145" t="str">
        <f t="shared" si="21"/>
        <v/>
      </c>
      <c r="C141" s="496">
        <f>IF(D94="","-",+C140+1)</f>
        <v>2058</v>
      </c>
      <c r="D141" s="350">
        <f>IF(F140+SUM(E$100:E140)=D$93,F140,D$93-SUM(E$100:E140))</f>
        <v>0</v>
      </c>
      <c r="E141" s="510">
        <f t="shared" si="39"/>
        <v>0</v>
      </c>
      <c r="F141" s="511">
        <f t="shared" si="33"/>
        <v>0</v>
      </c>
      <c r="G141" s="511">
        <f t="shared" si="34"/>
        <v>0</v>
      </c>
      <c r="H141" s="645">
        <f t="shared" si="31"/>
        <v>0</v>
      </c>
      <c r="I141" s="628">
        <f t="shared" si="32"/>
        <v>0</v>
      </c>
      <c r="J141" s="505">
        <f t="shared" si="35"/>
        <v>0</v>
      </c>
      <c r="K141" s="505"/>
      <c r="L141" s="513"/>
      <c r="M141" s="505">
        <f t="shared" si="36"/>
        <v>0</v>
      </c>
      <c r="N141" s="513"/>
      <c r="O141" s="505">
        <f t="shared" si="37"/>
        <v>0</v>
      </c>
      <c r="P141" s="505">
        <f t="shared" si="38"/>
        <v>0</v>
      </c>
    </row>
    <row r="142" spans="2:16" ht="12.5">
      <c r="B142" s="145" t="str">
        <f t="shared" si="21"/>
        <v/>
      </c>
      <c r="C142" s="496">
        <f>IF(D94="","-",+C141+1)</f>
        <v>2059</v>
      </c>
      <c r="D142" s="350">
        <f>IF(F141+SUM(E$100:E141)=D$93,F141,D$93-SUM(E$100:E141))</f>
        <v>0</v>
      </c>
      <c r="E142" s="510">
        <f t="shared" si="39"/>
        <v>0</v>
      </c>
      <c r="F142" s="511">
        <f t="shared" si="33"/>
        <v>0</v>
      </c>
      <c r="G142" s="511">
        <f t="shared" si="34"/>
        <v>0</v>
      </c>
      <c r="H142" s="645">
        <f t="shared" si="31"/>
        <v>0</v>
      </c>
      <c r="I142" s="628">
        <f t="shared" si="32"/>
        <v>0</v>
      </c>
      <c r="J142" s="505">
        <f t="shared" si="35"/>
        <v>0</v>
      </c>
      <c r="K142" s="505"/>
      <c r="L142" s="513"/>
      <c r="M142" s="505">
        <f t="shared" si="36"/>
        <v>0</v>
      </c>
      <c r="N142" s="513"/>
      <c r="O142" s="505">
        <f t="shared" si="37"/>
        <v>0</v>
      </c>
      <c r="P142" s="505">
        <f t="shared" si="38"/>
        <v>0</v>
      </c>
    </row>
    <row r="143" spans="2:16" ht="12.5">
      <c r="B143" s="145" t="str">
        <f t="shared" si="21"/>
        <v/>
      </c>
      <c r="C143" s="496">
        <f>IF(D94="","-",+C142+1)</f>
        <v>2060</v>
      </c>
      <c r="D143" s="350">
        <f>IF(F142+SUM(E$100:E142)=D$93,F142,D$93-SUM(E$100:E142))</f>
        <v>0</v>
      </c>
      <c r="E143" s="510">
        <f t="shared" si="39"/>
        <v>0</v>
      </c>
      <c r="F143" s="511">
        <f t="shared" si="33"/>
        <v>0</v>
      </c>
      <c r="G143" s="511">
        <f t="shared" si="34"/>
        <v>0</v>
      </c>
      <c r="H143" s="645">
        <f t="shared" si="31"/>
        <v>0</v>
      </c>
      <c r="I143" s="628">
        <f t="shared" si="32"/>
        <v>0</v>
      </c>
      <c r="J143" s="505">
        <f t="shared" si="35"/>
        <v>0</v>
      </c>
      <c r="K143" s="505"/>
      <c r="L143" s="513"/>
      <c r="M143" s="505">
        <f t="shared" si="36"/>
        <v>0</v>
      </c>
      <c r="N143" s="513"/>
      <c r="O143" s="505">
        <f t="shared" si="37"/>
        <v>0</v>
      </c>
      <c r="P143" s="505">
        <f t="shared" si="38"/>
        <v>0</v>
      </c>
    </row>
    <row r="144" spans="2:16" ht="12.5">
      <c r="B144" s="145" t="str">
        <f t="shared" si="21"/>
        <v/>
      </c>
      <c r="C144" s="496">
        <f>IF(D94="","-",+C143+1)</f>
        <v>2061</v>
      </c>
      <c r="D144" s="350">
        <f>IF(F143+SUM(E$100:E143)=D$93,F143,D$93-SUM(E$100:E143))</f>
        <v>0</v>
      </c>
      <c r="E144" s="510">
        <f t="shared" si="39"/>
        <v>0</v>
      </c>
      <c r="F144" s="511">
        <f t="shared" si="33"/>
        <v>0</v>
      </c>
      <c r="G144" s="511">
        <f t="shared" si="34"/>
        <v>0</v>
      </c>
      <c r="H144" s="645">
        <f t="shared" si="31"/>
        <v>0</v>
      </c>
      <c r="I144" s="628">
        <f t="shared" si="32"/>
        <v>0</v>
      </c>
      <c r="J144" s="505">
        <f t="shared" si="35"/>
        <v>0</v>
      </c>
      <c r="K144" s="505"/>
      <c r="L144" s="513"/>
      <c r="M144" s="505">
        <f t="shared" si="36"/>
        <v>0</v>
      </c>
      <c r="N144" s="513"/>
      <c r="O144" s="505">
        <f t="shared" si="37"/>
        <v>0</v>
      </c>
      <c r="P144" s="505">
        <f t="shared" si="38"/>
        <v>0</v>
      </c>
    </row>
    <row r="145" spans="2:16" ht="12.5">
      <c r="B145" s="145" t="str">
        <f t="shared" si="21"/>
        <v/>
      </c>
      <c r="C145" s="496">
        <f>IF(D94="","-",+C144+1)</f>
        <v>2062</v>
      </c>
      <c r="D145" s="350">
        <f>IF(F144+SUM(E$100:E144)=D$93,F144,D$93-SUM(E$100:E144))</f>
        <v>0</v>
      </c>
      <c r="E145" s="510">
        <f t="shared" si="39"/>
        <v>0</v>
      </c>
      <c r="F145" s="511">
        <f t="shared" si="33"/>
        <v>0</v>
      </c>
      <c r="G145" s="511">
        <f t="shared" si="34"/>
        <v>0</v>
      </c>
      <c r="H145" s="645">
        <f t="shared" si="31"/>
        <v>0</v>
      </c>
      <c r="I145" s="628">
        <f t="shared" si="32"/>
        <v>0</v>
      </c>
      <c r="J145" s="505">
        <f t="shared" si="35"/>
        <v>0</v>
      </c>
      <c r="K145" s="505"/>
      <c r="L145" s="513"/>
      <c r="M145" s="505">
        <f t="shared" si="36"/>
        <v>0</v>
      </c>
      <c r="N145" s="513"/>
      <c r="O145" s="505">
        <f t="shared" si="37"/>
        <v>0</v>
      </c>
      <c r="P145" s="505">
        <f t="shared" si="38"/>
        <v>0</v>
      </c>
    </row>
    <row r="146" spans="2:16" ht="12.5">
      <c r="B146" s="145" t="str">
        <f t="shared" si="21"/>
        <v/>
      </c>
      <c r="C146" s="496">
        <f>IF(D94="","-",+C145+1)</f>
        <v>2063</v>
      </c>
      <c r="D146" s="350">
        <f>IF(F145+SUM(E$100:E145)=D$93,F145,D$93-SUM(E$100:E145))</f>
        <v>0</v>
      </c>
      <c r="E146" s="510">
        <f t="shared" si="39"/>
        <v>0</v>
      </c>
      <c r="F146" s="511">
        <f t="shared" si="33"/>
        <v>0</v>
      </c>
      <c r="G146" s="511">
        <f t="shared" si="34"/>
        <v>0</v>
      </c>
      <c r="H146" s="645">
        <f t="shared" si="31"/>
        <v>0</v>
      </c>
      <c r="I146" s="628">
        <f t="shared" si="32"/>
        <v>0</v>
      </c>
      <c r="J146" s="505">
        <f t="shared" si="35"/>
        <v>0</v>
      </c>
      <c r="K146" s="505"/>
      <c r="L146" s="513"/>
      <c r="M146" s="505">
        <f t="shared" si="36"/>
        <v>0</v>
      </c>
      <c r="N146" s="513"/>
      <c r="O146" s="505">
        <f t="shared" si="37"/>
        <v>0</v>
      </c>
      <c r="P146" s="505">
        <f t="shared" si="38"/>
        <v>0</v>
      </c>
    </row>
    <row r="147" spans="2:16" ht="12.5">
      <c r="B147" s="145" t="str">
        <f t="shared" si="21"/>
        <v/>
      </c>
      <c r="C147" s="496">
        <f>IF(D94="","-",+C146+1)</f>
        <v>2064</v>
      </c>
      <c r="D147" s="350">
        <f>IF(F146+SUM(E$100:E146)=D$93,F146,D$93-SUM(E$100:E146))</f>
        <v>0</v>
      </c>
      <c r="E147" s="510">
        <f t="shared" si="39"/>
        <v>0</v>
      </c>
      <c r="F147" s="511">
        <f t="shared" si="33"/>
        <v>0</v>
      </c>
      <c r="G147" s="511">
        <f t="shared" si="34"/>
        <v>0</v>
      </c>
      <c r="H147" s="645">
        <f t="shared" si="31"/>
        <v>0</v>
      </c>
      <c r="I147" s="628">
        <f t="shared" si="32"/>
        <v>0</v>
      </c>
      <c r="J147" s="505">
        <f t="shared" si="35"/>
        <v>0</v>
      </c>
      <c r="K147" s="505"/>
      <c r="L147" s="513"/>
      <c r="M147" s="505">
        <f t="shared" si="36"/>
        <v>0</v>
      </c>
      <c r="N147" s="513"/>
      <c r="O147" s="505">
        <f t="shared" si="37"/>
        <v>0</v>
      </c>
      <c r="P147" s="505">
        <f t="shared" si="38"/>
        <v>0</v>
      </c>
    </row>
    <row r="148" spans="2:16" ht="12.5">
      <c r="B148" s="145" t="str">
        <f t="shared" si="21"/>
        <v/>
      </c>
      <c r="C148" s="496">
        <f>IF(D94="","-",+C147+1)</f>
        <v>2065</v>
      </c>
      <c r="D148" s="350">
        <f>IF(F147+SUM(E$100:E147)=D$93,F147,D$93-SUM(E$100:E147))</f>
        <v>0</v>
      </c>
      <c r="E148" s="510">
        <f t="shared" si="39"/>
        <v>0</v>
      </c>
      <c r="F148" s="511">
        <f t="shared" si="33"/>
        <v>0</v>
      </c>
      <c r="G148" s="511">
        <f t="shared" si="34"/>
        <v>0</v>
      </c>
      <c r="H148" s="645">
        <f t="shared" si="31"/>
        <v>0</v>
      </c>
      <c r="I148" s="628">
        <f t="shared" si="32"/>
        <v>0</v>
      </c>
      <c r="J148" s="505">
        <f t="shared" si="35"/>
        <v>0</v>
      </c>
      <c r="K148" s="505"/>
      <c r="L148" s="513"/>
      <c r="M148" s="505">
        <f t="shared" si="36"/>
        <v>0</v>
      </c>
      <c r="N148" s="513"/>
      <c r="O148" s="505">
        <f t="shared" si="37"/>
        <v>0</v>
      </c>
      <c r="P148" s="505">
        <f t="shared" si="38"/>
        <v>0</v>
      </c>
    </row>
    <row r="149" spans="2:16" ht="12.5">
      <c r="B149" s="145" t="str">
        <f t="shared" si="21"/>
        <v/>
      </c>
      <c r="C149" s="496">
        <f>IF(D94="","-",+C148+1)</f>
        <v>2066</v>
      </c>
      <c r="D149" s="350">
        <f>IF(F148+SUM(E$100:E148)=D$93,F148,D$93-SUM(E$100:E148))</f>
        <v>0</v>
      </c>
      <c r="E149" s="510">
        <f t="shared" si="39"/>
        <v>0</v>
      </c>
      <c r="F149" s="511">
        <f t="shared" si="33"/>
        <v>0</v>
      </c>
      <c r="G149" s="511">
        <f t="shared" si="34"/>
        <v>0</v>
      </c>
      <c r="H149" s="645">
        <f t="shared" si="31"/>
        <v>0</v>
      </c>
      <c r="I149" s="628">
        <f t="shared" si="32"/>
        <v>0</v>
      </c>
      <c r="J149" s="505">
        <f t="shared" si="35"/>
        <v>0</v>
      </c>
      <c r="K149" s="505"/>
      <c r="L149" s="513"/>
      <c r="M149" s="505">
        <f t="shared" si="36"/>
        <v>0</v>
      </c>
      <c r="N149" s="513"/>
      <c r="O149" s="505">
        <f t="shared" si="37"/>
        <v>0</v>
      </c>
      <c r="P149" s="505">
        <f t="shared" si="38"/>
        <v>0</v>
      </c>
    </row>
    <row r="150" spans="2:16" ht="12.5">
      <c r="B150" s="145" t="str">
        <f t="shared" si="21"/>
        <v/>
      </c>
      <c r="C150" s="496">
        <f>IF(D94="","-",+C149+1)</f>
        <v>2067</v>
      </c>
      <c r="D150" s="350">
        <f>IF(F149+SUM(E$100:E149)=D$93,F149,D$93-SUM(E$100:E149))</f>
        <v>0</v>
      </c>
      <c r="E150" s="510">
        <f t="shared" si="39"/>
        <v>0</v>
      </c>
      <c r="F150" s="511">
        <f t="shared" si="33"/>
        <v>0</v>
      </c>
      <c r="G150" s="511">
        <f t="shared" si="34"/>
        <v>0</v>
      </c>
      <c r="H150" s="645">
        <f t="shared" si="31"/>
        <v>0</v>
      </c>
      <c r="I150" s="628">
        <f t="shared" si="32"/>
        <v>0</v>
      </c>
      <c r="J150" s="505">
        <f t="shared" si="35"/>
        <v>0</v>
      </c>
      <c r="K150" s="505"/>
      <c r="L150" s="513"/>
      <c r="M150" s="505">
        <f t="shared" si="36"/>
        <v>0</v>
      </c>
      <c r="N150" s="513"/>
      <c r="O150" s="505">
        <f t="shared" si="37"/>
        <v>0</v>
      </c>
      <c r="P150" s="505">
        <f t="shared" si="38"/>
        <v>0</v>
      </c>
    </row>
    <row r="151" spans="2:16" ht="12.5">
      <c r="B151" s="145" t="str">
        <f t="shared" si="21"/>
        <v/>
      </c>
      <c r="C151" s="496">
        <f>IF(D94="","-",+C150+1)</f>
        <v>2068</v>
      </c>
      <c r="D151" s="350">
        <f>IF(F150+SUM(E$100:E150)=D$93,F150,D$93-SUM(E$100:E150))</f>
        <v>0</v>
      </c>
      <c r="E151" s="510">
        <f t="shared" si="39"/>
        <v>0</v>
      </c>
      <c r="F151" s="511">
        <f t="shared" si="33"/>
        <v>0</v>
      </c>
      <c r="G151" s="511">
        <f t="shared" si="34"/>
        <v>0</v>
      </c>
      <c r="H151" s="645">
        <f t="shared" si="31"/>
        <v>0</v>
      </c>
      <c r="I151" s="628">
        <f t="shared" si="32"/>
        <v>0</v>
      </c>
      <c r="J151" s="505">
        <f t="shared" si="35"/>
        <v>0</v>
      </c>
      <c r="K151" s="505"/>
      <c r="L151" s="513"/>
      <c r="M151" s="505">
        <f t="shared" si="36"/>
        <v>0</v>
      </c>
      <c r="N151" s="513"/>
      <c r="O151" s="505">
        <f t="shared" si="37"/>
        <v>0</v>
      </c>
      <c r="P151" s="505">
        <f t="shared" si="38"/>
        <v>0</v>
      </c>
    </row>
    <row r="152" spans="2:16" ht="12.5">
      <c r="B152" s="145" t="str">
        <f t="shared" si="21"/>
        <v/>
      </c>
      <c r="C152" s="496">
        <f>IF(D94="","-",+C151+1)</f>
        <v>2069</v>
      </c>
      <c r="D152" s="350">
        <f>IF(F151+SUM(E$100:E151)=D$93,F151,D$93-SUM(E$100:E151))</f>
        <v>0</v>
      </c>
      <c r="E152" s="510">
        <f t="shared" si="39"/>
        <v>0</v>
      </c>
      <c r="F152" s="511">
        <f t="shared" si="33"/>
        <v>0</v>
      </c>
      <c r="G152" s="511">
        <f t="shared" si="34"/>
        <v>0</v>
      </c>
      <c r="H152" s="645">
        <f t="shared" si="31"/>
        <v>0</v>
      </c>
      <c r="I152" s="628">
        <f t="shared" si="32"/>
        <v>0</v>
      </c>
      <c r="J152" s="505">
        <f t="shared" si="35"/>
        <v>0</v>
      </c>
      <c r="K152" s="505"/>
      <c r="L152" s="513"/>
      <c r="M152" s="505">
        <f t="shared" si="36"/>
        <v>0</v>
      </c>
      <c r="N152" s="513"/>
      <c r="O152" s="505">
        <f t="shared" si="37"/>
        <v>0</v>
      </c>
      <c r="P152" s="505">
        <f t="shared" si="38"/>
        <v>0</v>
      </c>
    </row>
    <row r="153" spans="2:16" ht="12.5">
      <c r="B153" s="145" t="str">
        <f t="shared" si="21"/>
        <v/>
      </c>
      <c r="C153" s="496">
        <f>IF(D94="","-",+C152+1)</f>
        <v>2070</v>
      </c>
      <c r="D153" s="350">
        <f>IF(F152+SUM(E$100:E152)=D$93,F152,D$93-SUM(E$100:E152))</f>
        <v>0</v>
      </c>
      <c r="E153" s="510">
        <f t="shared" si="39"/>
        <v>0</v>
      </c>
      <c r="F153" s="511">
        <f t="shared" si="33"/>
        <v>0</v>
      </c>
      <c r="G153" s="511">
        <f t="shared" si="34"/>
        <v>0</v>
      </c>
      <c r="H153" s="645">
        <f t="shared" si="31"/>
        <v>0</v>
      </c>
      <c r="I153" s="628">
        <f t="shared" si="32"/>
        <v>0</v>
      </c>
      <c r="J153" s="505">
        <f t="shared" si="35"/>
        <v>0</v>
      </c>
      <c r="K153" s="505"/>
      <c r="L153" s="513"/>
      <c r="M153" s="505">
        <f t="shared" si="36"/>
        <v>0</v>
      </c>
      <c r="N153" s="513"/>
      <c r="O153" s="505">
        <f t="shared" si="37"/>
        <v>0</v>
      </c>
      <c r="P153" s="505">
        <f t="shared" si="38"/>
        <v>0</v>
      </c>
    </row>
    <row r="154" spans="2:16" ht="12.5">
      <c r="B154" s="145" t="str">
        <f t="shared" si="21"/>
        <v/>
      </c>
      <c r="C154" s="496">
        <f>IF(D94="","-",+C153+1)</f>
        <v>2071</v>
      </c>
      <c r="D154" s="350">
        <f>IF(F153+SUM(E$100:E153)=D$93,F153,D$93-SUM(E$100:E153))</f>
        <v>0</v>
      </c>
      <c r="E154" s="510">
        <f t="shared" si="39"/>
        <v>0</v>
      </c>
      <c r="F154" s="511">
        <f t="shared" si="33"/>
        <v>0</v>
      </c>
      <c r="G154" s="511">
        <f t="shared" si="34"/>
        <v>0</v>
      </c>
      <c r="H154" s="645">
        <f t="shared" si="31"/>
        <v>0</v>
      </c>
      <c r="I154" s="628">
        <f t="shared" si="32"/>
        <v>0</v>
      </c>
      <c r="J154" s="505">
        <f t="shared" si="35"/>
        <v>0</v>
      </c>
      <c r="K154" s="505"/>
      <c r="L154" s="513"/>
      <c r="M154" s="505">
        <f t="shared" si="36"/>
        <v>0</v>
      </c>
      <c r="N154" s="513"/>
      <c r="O154" s="505">
        <f t="shared" si="37"/>
        <v>0</v>
      </c>
      <c r="P154" s="505">
        <f t="shared" si="38"/>
        <v>0</v>
      </c>
    </row>
    <row r="155" spans="2:16" ht="13" thickBot="1">
      <c r="B155" s="145" t="str">
        <f t="shared" si="21"/>
        <v/>
      </c>
      <c r="C155" s="525">
        <f>IF(D94="","-",+C154+1)</f>
        <v>2072</v>
      </c>
      <c r="D155" s="636">
        <f>IF(F154+SUM(E$100:E154)=D$93,F154,D$93-SUM(E$100:E154))</f>
        <v>0</v>
      </c>
      <c r="E155" s="527">
        <f t="shared" si="39"/>
        <v>0</v>
      </c>
      <c r="F155" s="528">
        <f t="shared" si="33"/>
        <v>0</v>
      </c>
      <c r="G155" s="528">
        <f t="shared" si="34"/>
        <v>0</v>
      </c>
      <c r="H155" s="645">
        <f t="shared" si="31"/>
        <v>0</v>
      </c>
      <c r="I155" s="624">
        <f t="shared" si="32"/>
        <v>0</v>
      </c>
      <c r="J155" s="532">
        <f t="shared" si="35"/>
        <v>0</v>
      </c>
      <c r="K155" s="505"/>
      <c r="L155" s="531"/>
      <c r="M155" s="532">
        <f t="shared" si="36"/>
        <v>0</v>
      </c>
      <c r="N155" s="531"/>
      <c r="O155" s="532">
        <f t="shared" si="37"/>
        <v>0</v>
      </c>
      <c r="P155" s="532">
        <f t="shared" si="38"/>
        <v>0</v>
      </c>
    </row>
    <row r="156" spans="2:16" ht="12.5">
      <c r="C156" s="350" t="s">
        <v>75</v>
      </c>
      <c r="D156" s="295"/>
      <c r="E156" s="295">
        <f>SUM(E100:E155)</f>
        <v>88160625.25999999</v>
      </c>
      <c r="F156" s="295"/>
      <c r="G156" s="295"/>
      <c r="H156" s="295">
        <f>SUM(H100:H155)</f>
        <v>199784428.05936876</v>
      </c>
      <c r="I156" s="295">
        <f>SUM(I100:I155)</f>
        <v>199784428.05936876</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23" priority="2" stopIfTrue="1" operator="equal">
      <formula>$I$10</formula>
    </cfRule>
  </conditionalFormatting>
  <conditionalFormatting sqref="C100:C155">
    <cfRule type="cellIs" dxfId="22" priority="3" stopIfTrue="1" operator="equal">
      <formula>$J$93</formula>
    </cfRule>
  </conditionalFormatting>
  <conditionalFormatting sqref="C72">
    <cfRule type="cellIs" dxfId="21"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63"/>
  <sheetViews>
    <sheetView topLeftCell="A59" zoomScale="85" zoomScaleNormal="85"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18 of 23</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2323095.2279110318</v>
      </c>
      <c r="P5" s="244"/>
    </row>
    <row r="6" spans="1:16" ht="15.5">
      <c r="C6" s="236"/>
      <c r="D6" s="293"/>
      <c r="E6" s="244"/>
      <c r="F6" s="244"/>
      <c r="G6" s="244"/>
      <c r="H6" s="450"/>
      <c r="I6" s="450"/>
      <c r="J6" s="451"/>
      <c r="K6" s="452" t="s">
        <v>243</v>
      </c>
      <c r="L6" s="453"/>
      <c r="M6" s="279"/>
      <c r="N6" s="454">
        <f>VLOOKUP(I10,C17:I73,6)</f>
        <v>2323095.2279110318</v>
      </c>
      <c r="O6" s="244"/>
      <c r="P6" s="244"/>
    </row>
    <row r="7" spans="1:16" ht="13.5" thickBot="1">
      <c r="C7" s="455" t="s">
        <v>46</v>
      </c>
      <c r="D7" s="635" t="s">
        <v>270</v>
      </c>
      <c r="E7" s="244"/>
      <c r="F7" s="244"/>
      <c r="G7" s="244"/>
      <c r="H7" s="326"/>
      <c r="I7" s="326"/>
      <c r="J7" s="295"/>
      <c r="K7" s="457" t="s">
        <v>47</v>
      </c>
      <c r="L7" s="458"/>
      <c r="M7" s="458"/>
      <c r="N7" s="459">
        <f>+N6-N5</f>
        <v>0</v>
      </c>
      <c r="O7" s="244"/>
      <c r="P7" s="244"/>
    </row>
    <row r="8" spans="1:16" ht="13.5" thickBot="1">
      <c r="C8" s="460"/>
      <c r="D8" s="461"/>
      <c r="E8" s="462"/>
      <c r="F8" s="462"/>
      <c r="G8" s="462"/>
      <c r="H8" s="462"/>
      <c r="I8" s="462"/>
      <c r="J8" s="463"/>
      <c r="K8" s="462"/>
      <c r="L8" s="462"/>
      <c r="M8" s="462"/>
      <c r="N8" s="462"/>
      <c r="O8" s="463"/>
      <c r="P8" s="249"/>
    </row>
    <row r="9" spans="1:16" ht="13.5" thickBot="1">
      <c r="C9" s="464" t="s">
        <v>48</v>
      </c>
      <c r="D9" s="465" t="s">
        <v>269</v>
      </c>
      <c r="E9" s="466"/>
      <c r="F9" s="466"/>
      <c r="G9" s="466"/>
      <c r="H9" s="466"/>
      <c r="I9" s="467"/>
      <c r="J9" s="468"/>
      <c r="O9" s="469"/>
      <c r="P9" s="279"/>
    </row>
    <row r="10" spans="1:16" ht="13">
      <c r="C10" s="470" t="s">
        <v>49</v>
      </c>
      <c r="D10" s="471">
        <v>17093290</v>
      </c>
      <c r="E10" s="300" t="s">
        <v>50</v>
      </c>
      <c r="F10" s="469"/>
      <c r="G10" s="409"/>
      <c r="H10" s="409"/>
      <c r="I10" s="472">
        <f>+'OKT.WS.F.BPU.ATRR.Projected'!R100</f>
        <v>2022</v>
      </c>
      <c r="J10" s="468"/>
      <c r="K10" s="295" t="s">
        <v>51</v>
      </c>
      <c r="O10" s="279"/>
      <c r="P10" s="279"/>
    </row>
    <row r="11" spans="1:16" ht="12.5">
      <c r="C11" s="473" t="s">
        <v>52</v>
      </c>
      <c r="D11" s="474">
        <v>2018</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12</v>
      </c>
      <c r="E12" s="473" t="s">
        <v>55</v>
      </c>
      <c r="F12" s="409"/>
      <c r="G12" s="221"/>
      <c r="H12" s="221"/>
      <c r="I12" s="477">
        <f>'OKT.WS.F.BPU.ATRR.Projected'!$F$78</f>
        <v>0.11475877389767174</v>
      </c>
      <c r="J12" s="414"/>
      <c r="K12" s="145" t="s">
        <v>56</v>
      </c>
      <c r="O12" s="279"/>
      <c r="P12" s="279"/>
    </row>
    <row r="13" spans="1:16"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row>
    <row r="14" spans="1:16" ht="13" thickBot="1">
      <c r="C14" s="473" t="s">
        <v>60</v>
      </c>
      <c r="D14" s="474" t="s">
        <v>61</v>
      </c>
      <c r="E14" s="279" t="s">
        <v>62</v>
      </c>
      <c r="F14" s="409"/>
      <c r="G14" s="221"/>
      <c r="H14" s="221"/>
      <c r="I14" s="478">
        <f>IF(D10=0,0,D10/D13)</f>
        <v>517978.48484848486</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2018</v>
      </c>
      <c r="D17" s="639">
        <v>0</v>
      </c>
      <c r="E17" s="640">
        <v>0</v>
      </c>
      <c r="F17" s="641">
        <v>8591402</v>
      </c>
      <c r="G17" s="640">
        <v>472269.24918780552</v>
      </c>
      <c r="H17" s="642">
        <v>472269.24918780552</v>
      </c>
      <c r="I17" s="501">
        <f t="shared" ref="I17:I71" si="1">H17-G17</f>
        <v>0</v>
      </c>
      <c r="J17" s="501"/>
      <c r="K17" s="502">
        <f t="shared" ref="K17:K22" si="2">+G17</f>
        <v>472269.24918780552</v>
      </c>
      <c r="L17" s="504">
        <f t="shared" ref="L17:L71" si="3">IF(K17&lt;&gt;0,+G17-K17,0)</f>
        <v>0</v>
      </c>
      <c r="M17" s="502">
        <f t="shared" ref="M17:M22" si="4">+H17</f>
        <v>472269.24918780552</v>
      </c>
      <c r="N17" s="504">
        <f t="shared" ref="N17:N71" si="5">IF(M17&lt;&gt;0,+H17-M17,0)</f>
        <v>0</v>
      </c>
      <c r="O17" s="505">
        <f t="shared" ref="O17:O71" si="6">+N17-L17</f>
        <v>0</v>
      </c>
      <c r="P17" s="279"/>
    </row>
    <row r="18" spans="2:16" ht="12.5">
      <c r="B18" s="145" t="str">
        <f t="shared" si="0"/>
        <v/>
      </c>
      <c r="C18" s="496">
        <f>IF(D11="","-",+C17+1)</f>
        <v>2019</v>
      </c>
      <c r="D18" s="646">
        <v>8591402</v>
      </c>
      <c r="E18" s="647">
        <v>254811.07676479843</v>
      </c>
      <c r="F18" s="646">
        <v>8336590.9232352013</v>
      </c>
      <c r="G18" s="647">
        <v>1134524.7126540036</v>
      </c>
      <c r="H18" s="648">
        <v>1134524.7126540036</v>
      </c>
      <c r="I18" s="501">
        <f t="shared" si="1"/>
        <v>0</v>
      </c>
      <c r="J18" s="501"/>
      <c r="K18" s="593">
        <f t="shared" si="2"/>
        <v>1134524.7126540036</v>
      </c>
      <c r="L18" s="597">
        <f t="shared" si="3"/>
        <v>0</v>
      </c>
      <c r="M18" s="593">
        <f t="shared" si="4"/>
        <v>1134524.7126540036</v>
      </c>
      <c r="N18" s="505">
        <f t="shared" si="5"/>
        <v>0</v>
      </c>
      <c r="O18" s="505">
        <f t="shared" si="6"/>
        <v>0</v>
      </c>
      <c r="P18" s="279"/>
    </row>
    <row r="19" spans="2:16" ht="12.5">
      <c r="B19" s="145" t="str">
        <f t="shared" si="0"/>
        <v>IU</v>
      </c>
      <c r="C19" s="496">
        <f>IF(D11="","-",+C18+1)</f>
        <v>2020</v>
      </c>
      <c r="D19" s="646">
        <v>15412336.915406611</v>
      </c>
      <c r="E19" s="647">
        <v>463640.04013383167</v>
      </c>
      <c r="F19" s="646">
        <v>14948696.875272779</v>
      </c>
      <c r="G19" s="647">
        <v>2056569.1179354885</v>
      </c>
      <c r="H19" s="648">
        <v>2056569.1179354885</v>
      </c>
      <c r="I19" s="501">
        <f t="shared" si="1"/>
        <v>0</v>
      </c>
      <c r="J19" s="501"/>
      <c r="K19" s="593">
        <f t="shared" si="2"/>
        <v>2056569.1179354885</v>
      </c>
      <c r="L19" s="597">
        <f t="shared" ref="L19" si="7">IF(K19&lt;&gt;0,+G19-K19,0)</f>
        <v>0</v>
      </c>
      <c r="M19" s="593">
        <f t="shared" si="4"/>
        <v>2056569.1179354885</v>
      </c>
      <c r="N19" s="505">
        <f t="shared" si="5"/>
        <v>0</v>
      </c>
      <c r="O19" s="505">
        <f t="shared" si="6"/>
        <v>0</v>
      </c>
      <c r="P19" s="279"/>
    </row>
    <row r="20" spans="2:16" ht="12.5">
      <c r="B20" s="145" t="str">
        <f t="shared" si="0"/>
        <v>IU</v>
      </c>
      <c r="C20" s="496">
        <f>IF(D11="","-",+C19+1)</f>
        <v>2021</v>
      </c>
      <c r="D20" s="646">
        <v>15187426.611313635</v>
      </c>
      <c r="E20" s="647">
        <v>386188.73170731706</v>
      </c>
      <c r="F20" s="646">
        <v>14801237.879606318</v>
      </c>
      <c r="G20" s="647">
        <v>2147888.2260048082</v>
      </c>
      <c r="H20" s="648">
        <v>2147888.2260048082</v>
      </c>
      <c r="I20" s="501">
        <f t="shared" si="1"/>
        <v>0</v>
      </c>
      <c r="J20" s="501"/>
      <c r="K20" s="593">
        <f t="shared" si="2"/>
        <v>2147888.2260048082</v>
      </c>
      <c r="L20" s="597">
        <f t="shared" ref="L20" si="8">IF(K20&lt;&gt;0,+G20-K20,0)</f>
        <v>0</v>
      </c>
      <c r="M20" s="593">
        <f t="shared" si="4"/>
        <v>2147888.2260048082</v>
      </c>
      <c r="N20" s="505">
        <f t="shared" si="5"/>
        <v>0</v>
      </c>
      <c r="O20" s="505">
        <f t="shared" si="6"/>
        <v>0</v>
      </c>
      <c r="P20" s="279"/>
    </row>
    <row r="21" spans="2:16" ht="12.5">
      <c r="B21" s="145" t="str">
        <f t="shared" si="0"/>
        <v>IU</v>
      </c>
      <c r="C21" s="496">
        <f>IF(D11="","-",+C20+1)</f>
        <v>2022</v>
      </c>
      <c r="D21" s="646">
        <v>15988651.151394052</v>
      </c>
      <c r="E21" s="647">
        <v>517978.51515151514</v>
      </c>
      <c r="F21" s="646">
        <v>15470672.636242537</v>
      </c>
      <c r="G21" s="647">
        <v>2323095.2279110318</v>
      </c>
      <c r="H21" s="648">
        <v>2323095.2279110318</v>
      </c>
      <c r="I21" s="501">
        <f t="shared" si="1"/>
        <v>0</v>
      </c>
      <c r="J21" s="501"/>
      <c r="K21" s="593">
        <f t="shared" si="2"/>
        <v>2323095.2279110318</v>
      </c>
      <c r="L21" s="597">
        <f t="shared" ref="L21" si="9">IF(K21&lt;&gt;0,+G21-K21,0)</f>
        <v>0</v>
      </c>
      <c r="M21" s="593">
        <f t="shared" si="4"/>
        <v>2323095.2279110318</v>
      </c>
      <c r="N21" s="505">
        <f t="shared" si="5"/>
        <v>0</v>
      </c>
      <c r="O21" s="505">
        <f t="shared" si="6"/>
        <v>0</v>
      </c>
      <c r="P21" s="279"/>
    </row>
    <row r="22" spans="2:16" ht="12.5">
      <c r="B22" s="145" t="str">
        <f t="shared" si="0"/>
        <v>IU</v>
      </c>
      <c r="C22" s="496">
        <f>IF(D11="","-",+C21+1)</f>
        <v>2023</v>
      </c>
      <c r="D22" s="646">
        <v>15470671.636242539</v>
      </c>
      <c r="E22" s="647">
        <v>551396.45161290327</v>
      </c>
      <c r="F22" s="646">
        <v>14919275.184629636</v>
      </c>
      <c r="G22" s="647">
        <v>2268927.6783923553</v>
      </c>
      <c r="H22" s="648">
        <v>2268927.6783923553</v>
      </c>
      <c r="I22" s="501">
        <f t="shared" si="1"/>
        <v>0</v>
      </c>
      <c r="J22" s="501"/>
      <c r="K22" s="593">
        <f t="shared" si="2"/>
        <v>2268927.6783923553</v>
      </c>
      <c r="L22" s="597">
        <f t="shared" ref="L22" si="10">IF(K22&lt;&gt;0,+G22-K22,0)</f>
        <v>0</v>
      </c>
      <c r="M22" s="593">
        <f t="shared" si="4"/>
        <v>2268927.6783923553</v>
      </c>
      <c r="N22" s="505">
        <f t="shared" si="5"/>
        <v>0</v>
      </c>
      <c r="O22" s="505">
        <f t="shared" si="6"/>
        <v>0</v>
      </c>
      <c r="P22" s="279"/>
    </row>
    <row r="23" spans="2:16" ht="12.5">
      <c r="B23" s="145" t="str">
        <f t="shared" si="0"/>
        <v/>
      </c>
      <c r="C23" s="496">
        <f>IF(D11="","-",+C22+1)</f>
        <v>2024</v>
      </c>
      <c r="D23" s="509">
        <f>IF(F22+SUM(E$17:E22)=D$10,F22,D$10-SUM(E$17:E22))</f>
        <v>14919275.184629636</v>
      </c>
      <c r="E23" s="510">
        <f t="shared" ref="E23:E71" si="11">IF(+I$14&lt;F22,I$14,D23)</f>
        <v>517978.48484848486</v>
      </c>
      <c r="F23" s="511">
        <f t="shared" ref="F23:F71" si="12">+D23-E23</f>
        <v>14401296.699781151</v>
      </c>
      <c r="G23" s="512">
        <f t="shared" ref="G23:G71" si="13">(D23+F23)/2*I$12+E23</f>
        <v>2200374.9245652491</v>
      </c>
      <c r="H23" s="478">
        <f t="shared" ref="H23:H71" si="14">+(D23+F23)/2*I$13+E23</f>
        <v>2200374.9245652491</v>
      </c>
      <c r="I23" s="501">
        <f t="shared" si="1"/>
        <v>0</v>
      </c>
      <c r="J23" s="501"/>
      <c r="K23" s="513"/>
      <c r="L23" s="505">
        <f t="shared" si="3"/>
        <v>0</v>
      </c>
      <c r="M23" s="513"/>
      <c r="N23" s="505">
        <f t="shared" si="5"/>
        <v>0</v>
      </c>
      <c r="O23" s="505">
        <f t="shared" si="6"/>
        <v>0</v>
      </c>
      <c r="P23" s="279"/>
    </row>
    <row r="24" spans="2:16" ht="12.5">
      <c r="B24" s="145" t="str">
        <f t="shared" si="0"/>
        <v/>
      </c>
      <c r="C24" s="496">
        <f>IF(D11="","-",+C23+1)</f>
        <v>2025</v>
      </c>
      <c r="D24" s="509">
        <f>IF(F23+SUM(E$17:E23)=D$10,F23,D$10-SUM(E$17:E23))</f>
        <v>14401296.699781151</v>
      </c>
      <c r="E24" s="510">
        <f t="shared" si="11"/>
        <v>517978.48484848486</v>
      </c>
      <c r="F24" s="511">
        <f t="shared" si="12"/>
        <v>13883318.214932667</v>
      </c>
      <c r="G24" s="512">
        <f t="shared" si="13"/>
        <v>2140932.3487386634</v>
      </c>
      <c r="H24" s="478">
        <f t="shared" si="14"/>
        <v>2140932.3487386634</v>
      </c>
      <c r="I24" s="501">
        <f t="shared" si="1"/>
        <v>0</v>
      </c>
      <c r="J24" s="501"/>
      <c r="K24" s="513"/>
      <c r="L24" s="505">
        <f t="shared" si="3"/>
        <v>0</v>
      </c>
      <c r="M24" s="513"/>
      <c r="N24" s="505">
        <f t="shared" si="5"/>
        <v>0</v>
      </c>
      <c r="O24" s="505">
        <f t="shared" si="6"/>
        <v>0</v>
      </c>
      <c r="P24" s="279"/>
    </row>
    <row r="25" spans="2:16" ht="12.5">
      <c r="B25" s="145" t="str">
        <f t="shared" si="0"/>
        <v/>
      </c>
      <c r="C25" s="496">
        <f>IF(D11="","-",+C24+1)</f>
        <v>2026</v>
      </c>
      <c r="D25" s="509">
        <f>IF(F24+SUM(E$17:E24)=D$10,F24,D$10-SUM(E$17:E24))</f>
        <v>13883318.214932667</v>
      </c>
      <c r="E25" s="510">
        <f t="shared" si="11"/>
        <v>517978.48484848486</v>
      </c>
      <c r="F25" s="511">
        <f t="shared" si="12"/>
        <v>13365339.730084183</v>
      </c>
      <c r="G25" s="512">
        <f t="shared" si="13"/>
        <v>2081489.7729120776</v>
      </c>
      <c r="H25" s="478">
        <f t="shared" si="14"/>
        <v>2081489.7729120776</v>
      </c>
      <c r="I25" s="501">
        <f t="shared" si="1"/>
        <v>0</v>
      </c>
      <c r="J25" s="501"/>
      <c r="K25" s="513"/>
      <c r="L25" s="505">
        <f t="shared" si="3"/>
        <v>0</v>
      </c>
      <c r="M25" s="513"/>
      <c r="N25" s="505">
        <f t="shared" si="5"/>
        <v>0</v>
      </c>
      <c r="O25" s="505">
        <f t="shared" si="6"/>
        <v>0</v>
      </c>
      <c r="P25" s="279"/>
    </row>
    <row r="26" spans="2:16" ht="12.5">
      <c r="B26" s="145" t="str">
        <f t="shared" si="0"/>
        <v/>
      </c>
      <c r="C26" s="496">
        <f>IF(D11="","-",+C25+1)</f>
        <v>2027</v>
      </c>
      <c r="D26" s="509">
        <f>IF(F25+SUM(E$17:E25)=D$10,F25,D$10-SUM(E$17:E25))</f>
        <v>13365339.730084183</v>
      </c>
      <c r="E26" s="510">
        <f t="shared" si="11"/>
        <v>517978.48484848486</v>
      </c>
      <c r="F26" s="511">
        <f t="shared" si="12"/>
        <v>12847361.245235698</v>
      </c>
      <c r="G26" s="512">
        <f t="shared" si="13"/>
        <v>2022047.1970854916</v>
      </c>
      <c r="H26" s="478">
        <f t="shared" si="14"/>
        <v>2022047.1970854916</v>
      </c>
      <c r="I26" s="501">
        <f t="shared" si="1"/>
        <v>0</v>
      </c>
      <c r="J26" s="501"/>
      <c r="K26" s="513"/>
      <c r="L26" s="505">
        <f t="shared" si="3"/>
        <v>0</v>
      </c>
      <c r="M26" s="513"/>
      <c r="N26" s="505">
        <f t="shared" si="5"/>
        <v>0</v>
      </c>
      <c r="O26" s="505">
        <f t="shared" si="6"/>
        <v>0</v>
      </c>
      <c r="P26" s="279"/>
    </row>
    <row r="27" spans="2:16" ht="12.5">
      <c r="B27" s="145" t="str">
        <f t="shared" si="0"/>
        <v/>
      </c>
      <c r="C27" s="496">
        <f>IF(D11="","-",+C26+1)</f>
        <v>2028</v>
      </c>
      <c r="D27" s="509">
        <f>IF(F26+SUM(E$17:E26)=D$10,F26,D$10-SUM(E$17:E26))</f>
        <v>12847361.245235698</v>
      </c>
      <c r="E27" s="510">
        <f t="shared" si="11"/>
        <v>517978.48484848486</v>
      </c>
      <c r="F27" s="511">
        <f t="shared" si="12"/>
        <v>12329382.760387214</v>
      </c>
      <c r="G27" s="512">
        <f t="shared" si="13"/>
        <v>1962604.6212589059</v>
      </c>
      <c r="H27" s="478">
        <f t="shared" si="14"/>
        <v>1962604.6212589059</v>
      </c>
      <c r="I27" s="501">
        <f t="shared" si="1"/>
        <v>0</v>
      </c>
      <c r="J27" s="501"/>
      <c r="K27" s="513"/>
      <c r="L27" s="505">
        <f t="shared" si="3"/>
        <v>0</v>
      </c>
      <c r="M27" s="513"/>
      <c r="N27" s="505">
        <f t="shared" si="5"/>
        <v>0</v>
      </c>
      <c r="O27" s="505">
        <f t="shared" si="6"/>
        <v>0</v>
      </c>
      <c r="P27" s="279"/>
    </row>
    <row r="28" spans="2:16" ht="12.5">
      <c r="B28" s="145" t="str">
        <f t="shared" si="0"/>
        <v/>
      </c>
      <c r="C28" s="496">
        <f>IF(D11="","-",+C27+1)</f>
        <v>2029</v>
      </c>
      <c r="D28" s="509">
        <f>IF(F27+SUM(E$17:E27)=D$10,F27,D$10-SUM(E$17:E27))</f>
        <v>12329382.760387214</v>
      </c>
      <c r="E28" s="510">
        <f t="shared" si="11"/>
        <v>517978.48484848486</v>
      </c>
      <c r="F28" s="511">
        <f t="shared" si="12"/>
        <v>11811404.27553873</v>
      </c>
      <c r="G28" s="512">
        <f t="shared" si="13"/>
        <v>1903162.0454323201</v>
      </c>
      <c r="H28" s="478">
        <f t="shared" si="14"/>
        <v>1903162.0454323201</v>
      </c>
      <c r="I28" s="501">
        <f t="shared" si="1"/>
        <v>0</v>
      </c>
      <c r="J28" s="501"/>
      <c r="K28" s="513"/>
      <c r="L28" s="505">
        <f t="shared" si="3"/>
        <v>0</v>
      </c>
      <c r="M28" s="513"/>
      <c r="N28" s="505">
        <f t="shared" si="5"/>
        <v>0</v>
      </c>
      <c r="O28" s="505">
        <f t="shared" si="6"/>
        <v>0</v>
      </c>
      <c r="P28" s="279"/>
    </row>
    <row r="29" spans="2:16" ht="12.5">
      <c r="B29" s="145" t="str">
        <f t="shared" si="0"/>
        <v/>
      </c>
      <c r="C29" s="496">
        <f>IF(D11="","-",+C28+1)</f>
        <v>2030</v>
      </c>
      <c r="D29" s="509">
        <f>IF(F28+SUM(E$17:E28)=D$10,F28,D$10-SUM(E$17:E28))</f>
        <v>11811404.27553873</v>
      </c>
      <c r="E29" s="510">
        <f t="shared" si="11"/>
        <v>517978.48484848486</v>
      </c>
      <c r="F29" s="511">
        <f t="shared" si="12"/>
        <v>11293425.790690245</v>
      </c>
      <c r="G29" s="512">
        <f t="shared" si="13"/>
        <v>1843719.4696057343</v>
      </c>
      <c r="H29" s="478">
        <f t="shared" si="14"/>
        <v>1843719.4696057343</v>
      </c>
      <c r="I29" s="501">
        <f t="shared" si="1"/>
        <v>0</v>
      </c>
      <c r="J29" s="501"/>
      <c r="K29" s="513"/>
      <c r="L29" s="505">
        <f t="shared" si="3"/>
        <v>0</v>
      </c>
      <c r="M29" s="513"/>
      <c r="N29" s="505">
        <f t="shared" si="5"/>
        <v>0</v>
      </c>
      <c r="O29" s="505">
        <f t="shared" si="6"/>
        <v>0</v>
      </c>
      <c r="P29" s="279"/>
    </row>
    <row r="30" spans="2:16" ht="12.5">
      <c r="B30" s="145" t="str">
        <f t="shared" si="0"/>
        <v/>
      </c>
      <c r="C30" s="496">
        <f>IF(D11="","-",+C29+1)</f>
        <v>2031</v>
      </c>
      <c r="D30" s="509">
        <f>IF(F29+SUM(E$17:E29)=D$10,F29,D$10-SUM(E$17:E29))</f>
        <v>11293425.790690245</v>
      </c>
      <c r="E30" s="510">
        <f t="shared" si="11"/>
        <v>517978.48484848486</v>
      </c>
      <c r="F30" s="511">
        <f t="shared" si="12"/>
        <v>10775447.305841761</v>
      </c>
      <c r="G30" s="512">
        <f t="shared" si="13"/>
        <v>1784276.8937791483</v>
      </c>
      <c r="H30" s="478">
        <f t="shared" si="14"/>
        <v>1784276.8937791483</v>
      </c>
      <c r="I30" s="501">
        <f t="shared" si="1"/>
        <v>0</v>
      </c>
      <c r="J30" s="501"/>
      <c r="K30" s="513"/>
      <c r="L30" s="505">
        <f t="shared" si="3"/>
        <v>0</v>
      </c>
      <c r="M30" s="513"/>
      <c r="N30" s="505">
        <f t="shared" si="5"/>
        <v>0</v>
      </c>
      <c r="O30" s="505">
        <f t="shared" si="6"/>
        <v>0</v>
      </c>
      <c r="P30" s="279"/>
    </row>
    <row r="31" spans="2:16" ht="12.5">
      <c r="B31" s="145" t="str">
        <f t="shared" si="0"/>
        <v/>
      </c>
      <c r="C31" s="496">
        <f>IF(D11="","-",+C30+1)</f>
        <v>2032</v>
      </c>
      <c r="D31" s="509">
        <f>IF(F30+SUM(E$17:E30)=D$10,F30,D$10-SUM(E$17:E30))</f>
        <v>10775447.305841761</v>
      </c>
      <c r="E31" s="510">
        <f t="shared" si="11"/>
        <v>517978.48484848486</v>
      </c>
      <c r="F31" s="511">
        <f t="shared" si="12"/>
        <v>10257468.820993276</v>
      </c>
      <c r="G31" s="512">
        <f t="shared" si="13"/>
        <v>1724834.3179525626</v>
      </c>
      <c r="H31" s="478">
        <f t="shared" si="14"/>
        <v>1724834.3179525626</v>
      </c>
      <c r="I31" s="501">
        <f t="shared" si="1"/>
        <v>0</v>
      </c>
      <c r="J31" s="501"/>
      <c r="K31" s="513"/>
      <c r="L31" s="505">
        <f t="shared" si="3"/>
        <v>0</v>
      </c>
      <c r="M31" s="513"/>
      <c r="N31" s="505">
        <f t="shared" si="5"/>
        <v>0</v>
      </c>
      <c r="O31" s="505">
        <f t="shared" si="6"/>
        <v>0</v>
      </c>
      <c r="P31" s="279"/>
    </row>
    <row r="32" spans="2:16" ht="12.5">
      <c r="B32" s="145" t="str">
        <f t="shared" si="0"/>
        <v/>
      </c>
      <c r="C32" s="496">
        <f>IF(D11="","-",+C31+1)</f>
        <v>2033</v>
      </c>
      <c r="D32" s="509">
        <f>IF(F31+SUM(E$17:E31)=D$10,F31,D$10-SUM(E$17:E31))</f>
        <v>10257468.820993276</v>
      </c>
      <c r="E32" s="510">
        <f t="shared" si="11"/>
        <v>517978.48484848486</v>
      </c>
      <c r="F32" s="511">
        <f t="shared" si="12"/>
        <v>9739490.3361447919</v>
      </c>
      <c r="G32" s="512">
        <f t="shared" si="13"/>
        <v>1665391.7421259768</v>
      </c>
      <c r="H32" s="478">
        <f t="shared" si="14"/>
        <v>1665391.7421259768</v>
      </c>
      <c r="I32" s="501">
        <f t="shared" si="1"/>
        <v>0</v>
      </c>
      <c r="J32" s="501"/>
      <c r="K32" s="513"/>
      <c r="L32" s="505">
        <f t="shared" si="3"/>
        <v>0</v>
      </c>
      <c r="M32" s="513"/>
      <c r="N32" s="505">
        <f t="shared" si="5"/>
        <v>0</v>
      </c>
      <c r="O32" s="505">
        <f t="shared" si="6"/>
        <v>0</v>
      </c>
      <c r="P32" s="279"/>
    </row>
    <row r="33" spans="2:16" ht="12.5">
      <c r="B33" s="145" t="str">
        <f t="shared" si="0"/>
        <v/>
      </c>
      <c r="C33" s="496">
        <f>IF(D11="","-",+C32+1)</f>
        <v>2034</v>
      </c>
      <c r="D33" s="509">
        <f>IF(F32+SUM(E$17:E32)=D$10,F32,D$10-SUM(E$17:E32))</f>
        <v>9739490.3361447919</v>
      </c>
      <c r="E33" s="510">
        <f t="shared" si="11"/>
        <v>517978.48484848486</v>
      </c>
      <c r="F33" s="511">
        <f t="shared" si="12"/>
        <v>9221511.8512963075</v>
      </c>
      <c r="G33" s="512">
        <f t="shared" si="13"/>
        <v>1605949.1662993911</v>
      </c>
      <c r="H33" s="478">
        <f t="shared" si="14"/>
        <v>1605949.1662993911</v>
      </c>
      <c r="I33" s="501">
        <f t="shared" si="1"/>
        <v>0</v>
      </c>
      <c r="J33" s="501"/>
      <c r="K33" s="513"/>
      <c r="L33" s="505">
        <f t="shared" si="3"/>
        <v>0</v>
      </c>
      <c r="M33" s="513"/>
      <c r="N33" s="505">
        <f t="shared" si="5"/>
        <v>0</v>
      </c>
      <c r="O33" s="505">
        <f t="shared" si="6"/>
        <v>0</v>
      </c>
      <c r="P33" s="279"/>
    </row>
    <row r="34" spans="2:16" ht="12.5">
      <c r="B34" s="145" t="str">
        <f t="shared" si="0"/>
        <v/>
      </c>
      <c r="C34" s="496">
        <f>IF(D11="","-",+C33+1)</f>
        <v>2035</v>
      </c>
      <c r="D34" s="509">
        <f>IF(F33+SUM(E$17:E33)=D$10,F33,D$10-SUM(E$17:E33))</f>
        <v>9221511.8512963075</v>
      </c>
      <c r="E34" s="510">
        <f t="shared" si="11"/>
        <v>517978.48484848486</v>
      </c>
      <c r="F34" s="511">
        <f t="shared" si="12"/>
        <v>8703533.3664478231</v>
      </c>
      <c r="G34" s="512">
        <f t="shared" si="13"/>
        <v>1546506.5904728053</v>
      </c>
      <c r="H34" s="478">
        <f t="shared" si="14"/>
        <v>1546506.5904728053</v>
      </c>
      <c r="I34" s="501">
        <f t="shared" si="1"/>
        <v>0</v>
      </c>
      <c r="J34" s="501"/>
      <c r="K34" s="513"/>
      <c r="L34" s="505">
        <f t="shared" si="3"/>
        <v>0</v>
      </c>
      <c r="M34" s="513"/>
      <c r="N34" s="505">
        <f t="shared" si="5"/>
        <v>0</v>
      </c>
      <c r="O34" s="505">
        <f t="shared" si="6"/>
        <v>0</v>
      </c>
      <c r="P34" s="279"/>
    </row>
    <row r="35" spans="2:16" ht="12.5">
      <c r="B35" s="145" t="str">
        <f t="shared" si="0"/>
        <v/>
      </c>
      <c r="C35" s="496">
        <f>IF(D11="","-",+C34+1)</f>
        <v>2036</v>
      </c>
      <c r="D35" s="509">
        <f>IF(F34+SUM(E$17:E34)=D$10,F34,D$10-SUM(E$17:E34))</f>
        <v>8703533.3664478231</v>
      </c>
      <c r="E35" s="510">
        <f t="shared" si="11"/>
        <v>517978.48484848486</v>
      </c>
      <c r="F35" s="511">
        <f t="shared" si="12"/>
        <v>8185554.8815993387</v>
      </c>
      <c r="G35" s="512">
        <f t="shared" si="13"/>
        <v>1487064.0146462196</v>
      </c>
      <c r="H35" s="478">
        <f t="shared" si="14"/>
        <v>1487064.0146462196</v>
      </c>
      <c r="I35" s="501">
        <f t="shared" si="1"/>
        <v>0</v>
      </c>
      <c r="J35" s="501"/>
      <c r="K35" s="513"/>
      <c r="L35" s="505">
        <f t="shared" si="3"/>
        <v>0</v>
      </c>
      <c r="M35" s="513"/>
      <c r="N35" s="505">
        <f t="shared" si="5"/>
        <v>0</v>
      </c>
      <c r="O35" s="505">
        <f t="shared" si="6"/>
        <v>0</v>
      </c>
      <c r="P35" s="279"/>
    </row>
    <row r="36" spans="2:16" ht="12.5">
      <c r="B36" s="145" t="str">
        <f t="shared" si="0"/>
        <v/>
      </c>
      <c r="C36" s="496">
        <f>IF(D11="","-",+C35+1)</f>
        <v>2037</v>
      </c>
      <c r="D36" s="509">
        <f>IF(F35+SUM(E$17:E35)=D$10,F35,D$10-SUM(E$17:E35))</f>
        <v>8185554.8815993387</v>
      </c>
      <c r="E36" s="510">
        <f t="shared" si="11"/>
        <v>517978.48484848486</v>
      </c>
      <c r="F36" s="511">
        <f t="shared" si="12"/>
        <v>7667576.3967508543</v>
      </c>
      <c r="G36" s="512">
        <f t="shared" si="13"/>
        <v>1427621.4388196336</v>
      </c>
      <c r="H36" s="478">
        <f t="shared" si="14"/>
        <v>1427621.4388196336</v>
      </c>
      <c r="I36" s="501">
        <f t="shared" si="1"/>
        <v>0</v>
      </c>
      <c r="J36" s="501"/>
      <c r="K36" s="513"/>
      <c r="L36" s="505">
        <f t="shared" si="3"/>
        <v>0</v>
      </c>
      <c r="M36" s="513"/>
      <c r="N36" s="505">
        <f t="shared" si="5"/>
        <v>0</v>
      </c>
      <c r="O36" s="505">
        <f t="shared" si="6"/>
        <v>0</v>
      </c>
      <c r="P36" s="279"/>
    </row>
    <row r="37" spans="2:16" ht="12.5">
      <c r="B37" s="145" t="str">
        <f t="shared" si="0"/>
        <v/>
      </c>
      <c r="C37" s="496">
        <f>IF(D11="","-",+C36+1)</f>
        <v>2038</v>
      </c>
      <c r="D37" s="509">
        <f>IF(F36+SUM(E$17:E36)=D$10,F36,D$10-SUM(E$17:E36))</f>
        <v>7667576.3967508543</v>
      </c>
      <c r="E37" s="510">
        <f t="shared" si="11"/>
        <v>517978.48484848486</v>
      </c>
      <c r="F37" s="511">
        <f t="shared" si="12"/>
        <v>7149597.9119023699</v>
      </c>
      <c r="G37" s="512">
        <f t="shared" si="13"/>
        <v>1368178.8629930478</v>
      </c>
      <c r="H37" s="478">
        <f t="shared" si="14"/>
        <v>1368178.8629930478</v>
      </c>
      <c r="I37" s="501">
        <f t="shared" si="1"/>
        <v>0</v>
      </c>
      <c r="J37" s="501"/>
      <c r="K37" s="513"/>
      <c r="L37" s="505">
        <f t="shared" si="3"/>
        <v>0</v>
      </c>
      <c r="M37" s="513"/>
      <c r="N37" s="505">
        <f t="shared" si="5"/>
        <v>0</v>
      </c>
      <c r="O37" s="505">
        <f t="shared" si="6"/>
        <v>0</v>
      </c>
      <c r="P37" s="279"/>
    </row>
    <row r="38" spans="2:16" ht="12.5">
      <c r="B38" s="145" t="str">
        <f t="shared" si="0"/>
        <v/>
      </c>
      <c r="C38" s="496">
        <f>IF(D11="","-",+C37+1)</f>
        <v>2039</v>
      </c>
      <c r="D38" s="509">
        <f>IF(F37+SUM(E$17:E37)=D$10,F37,D$10-SUM(E$17:E37))</f>
        <v>7149597.9119023699</v>
      </c>
      <c r="E38" s="510">
        <f t="shared" si="11"/>
        <v>517978.48484848486</v>
      </c>
      <c r="F38" s="511">
        <f t="shared" si="12"/>
        <v>6631619.4270538855</v>
      </c>
      <c r="G38" s="512">
        <f t="shared" si="13"/>
        <v>1308736.287166462</v>
      </c>
      <c r="H38" s="478">
        <f t="shared" si="14"/>
        <v>1308736.287166462</v>
      </c>
      <c r="I38" s="501">
        <f t="shared" si="1"/>
        <v>0</v>
      </c>
      <c r="J38" s="501"/>
      <c r="K38" s="513"/>
      <c r="L38" s="505">
        <f t="shared" si="3"/>
        <v>0</v>
      </c>
      <c r="M38" s="513"/>
      <c r="N38" s="505">
        <f t="shared" si="5"/>
        <v>0</v>
      </c>
      <c r="O38" s="505">
        <f t="shared" si="6"/>
        <v>0</v>
      </c>
      <c r="P38" s="279"/>
    </row>
    <row r="39" spans="2:16" ht="12.5">
      <c r="B39" s="145" t="str">
        <f t="shared" si="0"/>
        <v/>
      </c>
      <c r="C39" s="496">
        <f>IF(D11="","-",+C38+1)</f>
        <v>2040</v>
      </c>
      <c r="D39" s="509">
        <f>IF(F38+SUM(E$17:E38)=D$10,F38,D$10-SUM(E$17:E38))</f>
        <v>6631619.4270538855</v>
      </c>
      <c r="E39" s="510">
        <f t="shared" si="11"/>
        <v>517978.48484848486</v>
      </c>
      <c r="F39" s="511">
        <f t="shared" si="12"/>
        <v>6113640.9422054011</v>
      </c>
      <c r="G39" s="512">
        <f t="shared" si="13"/>
        <v>1249293.7113398761</v>
      </c>
      <c r="H39" s="478">
        <f t="shared" si="14"/>
        <v>1249293.7113398761</v>
      </c>
      <c r="I39" s="501">
        <f t="shared" si="1"/>
        <v>0</v>
      </c>
      <c r="J39" s="501"/>
      <c r="K39" s="513"/>
      <c r="L39" s="505">
        <f t="shared" si="3"/>
        <v>0</v>
      </c>
      <c r="M39" s="513"/>
      <c r="N39" s="505">
        <f t="shared" si="5"/>
        <v>0</v>
      </c>
      <c r="O39" s="505">
        <f t="shared" si="6"/>
        <v>0</v>
      </c>
      <c r="P39" s="279"/>
    </row>
    <row r="40" spans="2:16" ht="12.5">
      <c r="B40" s="145" t="str">
        <f t="shared" si="0"/>
        <v/>
      </c>
      <c r="C40" s="496">
        <f>IF(D11="","-",+C39+1)</f>
        <v>2041</v>
      </c>
      <c r="D40" s="509">
        <f>IF(F39+SUM(E$17:E39)=D$10,F39,D$10-SUM(E$17:E39))</f>
        <v>6113640.9422054011</v>
      </c>
      <c r="E40" s="510">
        <f t="shared" si="11"/>
        <v>517978.48484848486</v>
      </c>
      <c r="F40" s="511">
        <f t="shared" si="12"/>
        <v>5595662.4573569167</v>
      </c>
      <c r="G40" s="512">
        <f t="shared" si="13"/>
        <v>1189851.1355132903</v>
      </c>
      <c r="H40" s="478">
        <f t="shared" si="14"/>
        <v>1189851.1355132903</v>
      </c>
      <c r="I40" s="501">
        <f t="shared" si="1"/>
        <v>0</v>
      </c>
      <c r="J40" s="501"/>
      <c r="K40" s="513"/>
      <c r="L40" s="505">
        <f t="shared" si="3"/>
        <v>0</v>
      </c>
      <c r="M40" s="513"/>
      <c r="N40" s="505">
        <f t="shared" si="5"/>
        <v>0</v>
      </c>
      <c r="O40" s="505">
        <f t="shared" si="6"/>
        <v>0</v>
      </c>
      <c r="P40" s="279"/>
    </row>
    <row r="41" spans="2:16" ht="12.5">
      <c r="B41" s="145" t="str">
        <f t="shared" si="0"/>
        <v/>
      </c>
      <c r="C41" s="496">
        <f>IF(D11="","-",+C40+1)</f>
        <v>2042</v>
      </c>
      <c r="D41" s="509">
        <f>IF(F40+SUM(E$17:E40)=D$10,F40,D$10-SUM(E$17:E40))</f>
        <v>5595662.4573569167</v>
      </c>
      <c r="E41" s="510">
        <f t="shared" si="11"/>
        <v>517978.48484848486</v>
      </c>
      <c r="F41" s="511">
        <f t="shared" si="12"/>
        <v>5077683.9725084323</v>
      </c>
      <c r="G41" s="512">
        <f t="shared" si="13"/>
        <v>1130408.5596867045</v>
      </c>
      <c r="H41" s="478">
        <f t="shared" si="14"/>
        <v>1130408.5596867045</v>
      </c>
      <c r="I41" s="501">
        <f t="shared" si="1"/>
        <v>0</v>
      </c>
      <c r="J41" s="501"/>
      <c r="K41" s="513"/>
      <c r="L41" s="505">
        <f t="shared" si="3"/>
        <v>0</v>
      </c>
      <c r="M41" s="513"/>
      <c r="N41" s="505">
        <f t="shared" si="5"/>
        <v>0</v>
      </c>
      <c r="O41" s="505">
        <f t="shared" si="6"/>
        <v>0</v>
      </c>
      <c r="P41" s="279"/>
    </row>
    <row r="42" spans="2:16" ht="12.5">
      <c r="B42" s="145" t="str">
        <f t="shared" si="0"/>
        <v/>
      </c>
      <c r="C42" s="496">
        <f>IF(D11="","-",+C41+1)</f>
        <v>2043</v>
      </c>
      <c r="D42" s="509">
        <f>IF(F41+SUM(E$17:E41)=D$10,F41,D$10-SUM(E$17:E41))</f>
        <v>5077683.9725084323</v>
      </c>
      <c r="E42" s="510">
        <f t="shared" si="11"/>
        <v>517978.48484848486</v>
      </c>
      <c r="F42" s="511">
        <f t="shared" si="12"/>
        <v>4559705.4876599479</v>
      </c>
      <c r="G42" s="512">
        <f t="shared" si="13"/>
        <v>1070965.9838601188</v>
      </c>
      <c r="H42" s="478">
        <f t="shared" si="14"/>
        <v>1070965.9838601188</v>
      </c>
      <c r="I42" s="501">
        <f t="shared" si="1"/>
        <v>0</v>
      </c>
      <c r="J42" s="501"/>
      <c r="K42" s="513"/>
      <c r="L42" s="505">
        <f t="shared" si="3"/>
        <v>0</v>
      </c>
      <c r="M42" s="513"/>
      <c r="N42" s="505">
        <f t="shared" si="5"/>
        <v>0</v>
      </c>
      <c r="O42" s="505">
        <f t="shared" si="6"/>
        <v>0</v>
      </c>
      <c r="P42" s="279"/>
    </row>
    <row r="43" spans="2:16" ht="12.5">
      <c r="B43" s="145" t="str">
        <f t="shared" si="0"/>
        <v/>
      </c>
      <c r="C43" s="496">
        <f>IF(D11="","-",+C42+1)</f>
        <v>2044</v>
      </c>
      <c r="D43" s="509">
        <f>IF(F42+SUM(E$17:E42)=D$10,F42,D$10-SUM(E$17:E42))</f>
        <v>4559705.4876599479</v>
      </c>
      <c r="E43" s="510">
        <f t="shared" si="11"/>
        <v>517978.48484848486</v>
      </c>
      <c r="F43" s="511">
        <f t="shared" si="12"/>
        <v>4041727.0028114631</v>
      </c>
      <c r="G43" s="512">
        <f t="shared" si="13"/>
        <v>1011523.408033533</v>
      </c>
      <c r="H43" s="478">
        <f t="shared" si="14"/>
        <v>1011523.408033533</v>
      </c>
      <c r="I43" s="501">
        <f t="shared" si="1"/>
        <v>0</v>
      </c>
      <c r="J43" s="501"/>
      <c r="K43" s="513"/>
      <c r="L43" s="505">
        <f t="shared" si="3"/>
        <v>0</v>
      </c>
      <c r="M43" s="513"/>
      <c r="N43" s="505">
        <f t="shared" si="5"/>
        <v>0</v>
      </c>
      <c r="O43" s="505">
        <f t="shared" si="6"/>
        <v>0</v>
      </c>
      <c r="P43" s="279"/>
    </row>
    <row r="44" spans="2:16" ht="12.5">
      <c r="B44" s="145" t="str">
        <f t="shared" si="0"/>
        <v/>
      </c>
      <c r="C44" s="496">
        <f>IF(D11="","-",+C43+1)</f>
        <v>2045</v>
      </c>
      <c r="D44" s="509">
        <f>IF(F43+SUM(E$17:E43)=D$10,F43,D$10-SUM(E$17:E43))</f>
        <v>4041727.0028114631</v>
      </c>
      <c r="E44" s="510">
        <f t="shared" si="11"/>
        <v>517978.48484848486</v>
      </c>
      <c r="F44" s="511">
        <f t="shared" si="12"/>
        <v>3523748.5179629782</v>
      </c>
      <c r="G44" s="512">
        <f t="shared" si="13"/>
        <v>952080.83220694703</v>
      </c>
      <c r="H44" s="478">
        <f t="shared" si="14"/>
        <v>952080.83220694703</v>
      </c>
      <c r="I44" s="501">
        <f t="shared" si="1"/>
        <v>0</v>
      </c>
      <c r="J44" s="501"/>
      <c r="K44" s="513"/>
      <c r="L44" s="505">
        <f t="shared" si="3"/>
        <v>0</v>
      </c>
      <c r="M44" s="513"/>
      <c r="N44" s="505">
        <f t="shared" si="5"/>
        <v>0</v>
      </c>
      <c r="O44" s="505">
        <f t="shared" si="6"/>
        <v>0</v>
      </c>
      <c r="P44" s="279"/>
    </row>
    <row r="45" spans="2:16" ht="12.5">
      <c r="B45" s="145" t="str">
        <f t="shared" si="0"/>
        <v/>
      </c>
      <c r="C45" s="496">
        <f>IF(D11="","-",+C44+1)</f>
        <v>2046</v>
      </c>
      <c r="D45" s="509">
        <f>IF(F44+SUM(E$17:E44)=D$10,F44,D$10-SUM(E$17:E44))</f>
        <v>3523748.5179629782</v>
      </c>
      <c r="E45" s="510">
        <f t="shared" si="11"/>
        <v>517978.48484848486</v>
      </c>
      <c r="F45" s="511">
        <f t="shared" si="12"/>
        <v>3005770.0331144934</v>
      </c>
      <c r="G45" s="512">
        <f t="shared" si="13"/>
        <v>892638.25638036127</v>
      </c>
      <c r="H45" s="478">
        <f t="shared" si="14"/>
        <v>892638.25638036127</v>
      </c>
      <c r="I45" s="501">
        <f t="shared" si="1"/>
        <v>0</v>
      </c>
      <c r="J45" s="501"/>
      <c r="K45" s="513"/>
      <c r="L45" s="505">
        <f t="shared" si="3"/>
        <v>0</v>
      </c>
      <c r="M45" s="513"/>
      <c r="N45" s="505">
        <f t="shared" si="5"/>
        <v>0</v>
      </c>
      <c r="O45" s="505">
        <f t="shared" si="6"/>
        <v>0</v>
      </c>
      <c r="P45" s="279"/>
    </row>
    <row r="46" spans="2:16" ht="12.5">
      <c r="B46" s="145" t="str">
        <f t="shared" si="0"/>
        <v/>
      </c>
      <c r="C46" s="496">
        <f>IF(D11="","-",+C45+1)</f>
        <v>2047</v>
      </c>
      <c r="D46" s="509">
        <f>IF(F45+SUM(E$17:E45)=D$10,F45,D$10-SUM(E$17:E45))</f>
        <v>3005770.0331144934</v>
      </c>
      <c r="E46" s="510">
        <f t="shared" si="11"/>
        <v>517978.48484848486</v>
      </c>
      <c r="F46" s="511">
        <f t="shared" si="12"/>
        <v>2487791.5482660085</v>
      </c>
      <c r="G46" s="512">
        <f t="shared" si="13"/>
        <v>833195.68055377528</v>
      </c>
      <c r="H46" s="478">
        <f t="shared" si="14"/>
        <v>833195.68055377528</v>
      </c>
      <c r="I46" s="501">
        <f t="shared" si="1"/>
        <v>0</v>
      </c>
      <c r="J46" s="501"/>
      <c r="K46" s="513"/>
      <c r="L46" s="505">
        <f t="shared" si="3"/>
        <v>0</v>
      </c>
      <c r="M46" s="513"/>
      <c r="N46" s="505">
        <f t="shared" si="5"/>
        <v>0</v>
      </c>
      <c r="O46" s="505">
        <f t="shared" si="6"/>
        <v>0</v>
      </c>
      <c r="P46" s="279"/>
    </row>
    <row r="47" spans="2:16" ht="12.5">
      <c r="B47" s="145" t="str">
        <f t="shared" si="0"/>
        <v/>
      </c>
      <c r="C47" s="496">
        <f>IF(D11="","-",+C46+1)</f>
        <v>2048</v>
      </c>
      <c r="D47" s="509">
        <f>IF(F46+SUM(E$17:E46)=D$10,F46,D$10-SUM(E$17:E46))</f>
        <v>2487791.5482660085</v>
      </c>
      <c r="E47" s="510">
        <f t="shared" si="11"/>
        <v>517978.48484848486</v>
      </c>
      <c r="F47" s="511">
        <f t="shared" si="12"/>
        <v>1969813.0634175236</v>
      </c>
      <c r="G47" s="512">
        <f t="shared" si="13"/>
        <v>773753.10472718952</v>
      </c>
      <c r="H47" s="478">
        <f t="shared" si="14"/>
        <v>773753.10472718952</v>
      </c>
      <c r="I47" s="501">
        <f t="shared" si="1"/>
        <v>0</v>
      </c>
      <c r="J47" s="501"/>
      <c r="K47" s="513"/>
      <c r="L47" s="505">
        <f t="shared" si="3"/>
        <v>0</v>
      </c>
      <c r="M47" s="513"/>
      <c r="N47" s="505">
        <f t="shared" si="5"/>
        <v>0</v>
      </c>
      <c r="O47" s="505">
        <f t="shared" si="6"/>
        <v>0</v>
      </c>
      <c r="P47" s="279"/>
    </row>
    <row r="48" spans="2:16" ht="12.5">
      <c r="B48" s="145" t="str">
        <f t="shared" si="0"/>
        <v/>
      </c>
      <c r="C48" s="496">
        <f>IF(D11="","-",+C47+1)</f>
        <v>2049</v>
      </c>
      <c r="D48" s="509">
        <f>IF(F47+SUM(E$17:E47)=D$10,F47,D$10-SUM(E$17:E47))</f>
        <v>1969813.0634175236</v>
      </c>
      <c r="E48" s="510">
        <f t="shared" si="11"/>
        <v>517978.48484848486</v>
      </c>
      <c r="F48" s="511">
        <f t="shared" si="12"/>
        <v>1451834.5785690388</v>
      </c>
      <c r="G48" s="512">
        <f t="shared" si="13"/>
        <v>714310.52890060365</v>
      </c>
      <c r="H48" s="478">
        <f t="shared" si="14"/>
        <v>714310.52890060365</v>
      </c>
      <c r="I48" s="501">
        <f t="shared" si="1"/>
        <v>0</v>
      </c>
      <c r="J48" s="501"/>
      <c r="K48" s="513"/>
      <c r="L48" s="505">
        <f t="shared" si="3"/>
        <v>0</v>
      </c>
      <c r="M48" s="513"/>
      <c r="N48" s="505">
        <f t="shared" si="5"/>
        <v>0</v>
      </c>
      <c r="O48" s="505">
        <f t="shared" si="6"/>
        <v>0</v>
      </c>
      <c r="P48" s="279"/>
    </row>
    <row r="49" spans="2:16" ht="12.5">
      <c r="B49" s="145" t="str">
        <f t="shared" si="0"/>
        <v/>
      </c>
      <c r="C49" s="496">
        <f>IF(D11="","-",+C48+1)</f>
        <v>2050</v>
      </c>
      <c r="D49" s="509">
        <f>IF(F48+SUM(E$17:E48)=D$10,F48,D$10-SUM(E$17:E48))</f>
        <v>1451834.5785690388</v>
      </c>
      <c r="E49" s="510">
        <f t="shared" si="11"/>
        <v>517978.48484848486</v>
      </c>
      <c r="F49" s="511">
        <f t="shared" si="12"/>
        <v>933856.09372055391</v>
      </c>
      <c r="G49" s="512">
        <f t="shared" si="13"/>
        <v>654867.95307401777</v>
      </c>
      <c r="H49" s="478">
        <f t="shared" si="14"/>
        <v>654867.95307401777</v>
      </c>
      <c r="I49" s="501">
        <f t="shared" si="1"/>
        <v>0</v>
      </c>
      <c r="J49" s="501"/>
      <c r="K49" s="513"/>
      <c r="L49" s="505">
        <f t="shared" si="3"/>
        <v>0</v>
      </c>
      <c r="M49" s="513"/>
      <c r="N49" s="505">
        <f t="shared" si="5"/>
        <v>0</v>
      </c>
      <c r="O49" s="505">
        <f t="shared" si="6"/>
        <v>0</v>
      </c>
      <c r="P49" s="279"/>
    </row>
    <row r="50" spans="2:16" ht="12.5">
      <c r="B50" s="145" t="str">
        <f t="shared" si="0"/>
        <v/>
      </c>
      <c r="C50" s="496">
        <f>IF(D11="","-",+C49+1)</f>
        <v>2051</v>
      </c>
      <c r="D50" s="509">
        <f>IF(F49+SUM(E$17:E49)=D$10,F49,D$10-SUM(E$17:E49))</f>
        <v>933856.09372055391</v>
      </c>
      <c r="E50" s="510">
        <f t="shared" si="11"/>
        <v>517978.48484848486</v>
      </c>
      <c r="F50" s="511">
        <f t="shared" si="12"/>
        <v>415877.60887206905</v>
      </c>
      <c r="G50" s="512">
        <f t="shared" si="13"/>
        <v>595425.3772474319</v>
      </c>
      <c r="H50" s="478">
        <f t="shared" si="14"/>
        <v>595425.3772474319</v>
      </c>
      <c r="I50" s="501">
        <f t="shared" si="1"/>
        <v>0</v>
      </c>
      <c r="J50" s="501"/>
      <c r="K50" s="513"/>
      <c r="L50" s="505">
        <f t="shared" si="3"/>
        <v>0</v>
      </c>
      <c r="M50" s="513"/>
      <c r="N50" s="505">
        <f t="shared" si="5"/>
        <v>0</v>
      </c>
      <c r="O50" s="505">
        <f t="shared" si="6"/>
        <v>0</v>
      </c>
      <c r="P50" s="279"/>
    </row>
    <row r="51" spans="2:16" ht="12.5">
      <c r="B51" s="145" t="str">
        <f t="shared" si="0"/>
        <v/>
      </c>
      <c r="C51" s="496">
        <f>IF(D11="","-",+C50+1)</f>
        <v>2052</v>
      </c>
      <c r="D51" s="509">
        <f>IF(F50+SUM(E$17:E50)=D$10,F50,D$10-SUM(E$17:E50))</f>
        <v>415877.60887206905</v>
      </c>
      <c r="E51" s="510">
        <f t="shared" si="11"/>
        <v>415877.60887206905</v>
      </c>
      <c r="F51" s="511">
        <f t="shared" si="12"/>
        <v>0</v>
      </c>
      <c r="G51" s="512">
        <f t="shared" si="13"/>
        <v>439740.41111489612</v>
      </c>
      <c r="H51" s="478">
        <f t="shared" si="14"/>
        <v>439740.41111489612</v>
      </c>
      <c r="I51" s="501">
        <f t="shared" si="1"/>
        <v>0</v>
      </c>
      <c r="J51" s="501"/>
      <c r="K51" s="513"/>
      <c r="L51" s="505">
        <f t="shared" si="3"/>
        <v>0</v>
      </c>
      <c r="M51" s="513"/>
      <c r="N51" s="505">
        <f t="shared" si="5"/>
        <v>0</v>
      </c>
      <c r="O51" s="505">
        <f t="shared" si="6"/>
        <v>0</v>
      </c>
      <c r="P51" s="279"/>
    </row>
    <row r="52" spans="2:16" ht="12.5">
      <c r="B52" s="145" t="str">
        <f t="shared" si="0"/>
        <v/>
      </c>
      <c r="C52" s="496">
        <f>IF(D11="","-",+C51+1)</f>
        <v>2053</v>
      </c>
      <c r="D52" s="509">
        <f>IF(F51+SUM(E$17:E51)=D$10,F51,D$10-SUM(E$17:E51))</f>
        <v>0</v>
      </c>
      <c r="E52" s="510">
        <f t="shared" si="11"/>
        <v>0</v>
      </c>
      <c r="F52" s="511">
        <f t="shared" si="12"/>
        <v>0</v>
      </c>
      <c r="G52" s="512">
        <f t="shared" si="13"/>
        <v>0</v>
      </c>
      <c r="H52" s="478">
        <f t="shared" si="14"/>
        <v>0</v>
      </c>
      <c r="I52" s="501">
        <f t="shared" si="1"/>
        <v>0</v>
      </c>
      <c r="J52" s="501"/>
      <c r="K52" s="513"/>
      <c r="L52" s="505">
        <f t="shared" si="3"/>
        <v>0</v>
      </c>
      <c r="M52" s="513"/>
      <c r="N52" s="505">
        <f t="shared" si="5"/>
        <v>0</v>
      </c>
      <c r="O52" s="505">
        <f t="shared" si="6"/>
        <v>0</v>
      </c>
      <c r="P52" s="279"/>
    </row>
    <row r="53" spans="2:16" ht="12.5">
      <c r="B53" s="145" t="str">
        <f t="shared" si="0"/>
        <v/>
      </c>
      <c r="C53" s="496">
        <f>IF(D11="","-",+C52+1)</f>
        <v>2054</v>
      </c>
      <c r="D53" s="509">
        <f>IF(F52+SUM(E$17:E52)=D$10,F52,D$10-SUM(E$17:E52))</f>
        <v>0</v>
      </c>
      <c r="E53" s="510">
        <f t="shared" si="11"/>
        <v>0</v>
      </c>
      <c r="F53" s="511">
        <f t="shared" si="12"/>
        <v>0</v>
      </c>
      <c r="G53" s="512">
        <f t="shared" si="13"/>
        <v>0</v>
      </c>
      <c r="H53" s="478">
        <f t="shared" si="14"/>
        <v>0</v>
      </c>
      <c r="I53" s="501">
        <f t="shared" si="1"/>
        <v>0</v>
      </c>
      <c r="J53" s="501"/>
      <c r="K53" s="513"/>
      <c r="L53" s="505">
        <f t="shared" si="3"/>
        <v>0</v>
      </c>
      <c r="M53" s="513"/>
      <c r="N53" s="505">
        <f t="shared" si="5"/>
        <v>0</v>
      </c>
      <c r="O53" s="505">
        <f t="shared" si="6"/>
        <v>0</v>
      </c>
      <c r="P53" s="279"/>
    </row>
    <row r="54" spans="2:16" ht="12.5">
      <c r="B54" s="145" t="str">
        <f t="shared" si="0"/>
        <v/>
      </c>
      <c r="C54" s="496">
        <f>IF(D11="","-",+C53+1)</f>
        <v>2055</v>
      </c>
      <c r="D54" s="509">
        <f>IF(F53+SUM(E$17:E53)=D$10,F53,D$10-SUM(E$17:E53))</f>
        <v>0</v>
      </c>
      <c r="E54" s="510">
        <f t="shared" si="11"/>
        <v>0</v>
      </c>
      <c r="F54" s="511">
        <f t="shared" si="12"/>
        <v>0</v>
      </c>
      <c r="G54" s="512">
        <f t="shared" si="13"/>
        <v>0</v>
      </c>
      <c r="H54" s="478">
        <f t="shared" si="14"/>
        <v>0</v>
      </c>
      <c r="I54" s="501">
        <f t="shared" si="1"/>
        <v>0</v>
      </c>
      <c r="J54" s="501"/>
      <c r="K54" s="513"/>
      <c r="L54" s="505">
        <f t="shared" si="3"/>
        <v>0</v>
      </c>
      <c r="M54" s="513"/>
      <c r="N54" s="505">
        <f t="shared" si="5"/>
        <v>0</v>
      </c>
      <c r="O54" s="505">
        <f t="shared" si="6"/>
        <v>0</v>
      </c>
      <c r="P54" s="279"/>
    </row>
    <row r="55" spans="2:16" ht="12.5">
      <c r="B55" s="145" t="str">
        <f t="shared" si="0"/>
        <v/>
      </c>
      <c r="C55" s="496">
        <f>IF(D11="","-",+C54+1)</f>
        <v>2056</v>
      </c>
      <c r="D55" s="509">
        <f>IF(F54+SUM(E$17:E54)=D$10,F54,D$10-SUM(E$17:E54))</f>
        <v>0</v>
      </c>
      <c r="E55" s="510">
        <f t="shared" si="11"/>
        <v>0</v>
      </c>
      <c r="F55" s="511">
        <f t="shared" si="12"/>
        <v>0</v>
      </c>
      <c r="G55" s="512">
        <f t="shared" si="13"/>
        <v>0</v>
      </c>
      <c r="H55" s="478">
        <f t="shared" si="14"/>
        <v>0</v>
      </c>
      <c r="I55" s="501">
        <f t="shared" si="1"/>
        <v>0</v>
      </c>
      <c r="J55" s="501"/>
      <c r="K55" s="513"/>
      <c r="L55" s="505">
        <f t="shared" si="3"/>
        <v>0</v>
      </c>
      <c r="M55" s="513"/>
      <c r="N55" s="505">
        <f t="shared" si="5"/>
        <v>0</v>
      </c>
      <c r="O55" s="505">
        <f t="shared" si="6"/>
        <v>0</v>
      </c>
      <c r="P55" s="279"/>
    </row>
    <row r="56" spans="2:16" ht="12.5">
      <c r="B56" s="145" t="str">
        <f t="shared" si="0"/>
        <v/>
      </c>
      <c r="C56" s="496">
        <f>IF(D11="","-",+C55+1)</f>
        <v>2057</v>
      </c>
      <c r="D56" s="509">
        <f>IF(F55+SUM(E$17:E55)=D$10,F55,D$10-SUM(E$17:E55))</f>
        <v>0</v>
      </c>
      <c r="E56" s="510">
        <f t="shared" si="11"/>
        <v>0</v>
      </c>
      <c r="F56" s="511">
        <f t="shared" si="12"/>
        <v>0</v>
      </c>
      <c r="G56" s="512">
        <f t="shared" si="13"/>
        <v>0</v>
      </c>
      <c r="H56" s="478">
        <f t="shared" si="14"/>
        <v>0</v>
      </c>
      <c r="I56" s="501">
        <f t="shared" si="1"/>
        <v>0</v>
      </c>
      <c r="J56" s="501"/>
      <c r="K56" s="513"/>
      <c r="L56" s="505">
        <f t="shared" si="3"/>
        <v>0</v>
      </c>
      <c r="M56" s="513"/>
      <c r="N56" s="505">
        <f t="shared" si="5"/>
        <v>0</v>
      </c>
      <c r="O56" s="505">
        <f t="shared" si="6"/>
        <v>0</v>
      </c>
      <c r="P56" s="279"/>
    </row>
    <row r="57" spans="2:16" ht="12.5">
      <c r="B57" s="145" t="str">
        <f t="shared" si="0"/>
        <v/>
      </c>
      <c r="C57" s="496">
        <f>IF(D11="","-",+C56+1)</f>
        <v>2058</v>
      </c>
      <c r="D57" s="509">
        <f>IF(F56+SUM(E$17:E56)=D$10,F56,D$10-SUM(E$17:E56))</f>
        <v>0</v>
      </c>
      <c r="E57" s="510">
        <f t="shared" si="11"/>
        <v>0</v>
      </c>
      <c r="F57" s="511">
        <f t="shared" si="12"/>
        <v>0</v>
      </c>
      <c r="G57" s="512">
        <f t="shared" si="13"/>
        <v>0</v>
      </c>
      <c r="H57" s="478">
        <f t="shared" si="14"/>
        <v>0</v>
      </c>
      <c r="I57" s="501">
        <f t="shared" si="1"/>
        <v>0</v>
      </c>
      <c r="J57" s="501"/>
      <c r="K57" s="513"/>
      <c r="L57" s="505">
        <f t="shared" si="3"/>
        <v>0</v>
      </c>
      <c r="M57" s="513"/>
      <c r="N57" s="505">
        <f t="shared" si="5"/>
        <v>0</v>
      </c>
      <c r="O57" s="505">
        <f t="shared" si="6"/>
        <v>0</v>
      </c>
      <c r="P57" s="279"/>
    </row>
    <row r="58" spans="2:16" ht="12.5">
      <c r="B58" s="145" t="str">
        <f t="shared" si="0"/>
        <v/>
      </c>
      <c r="C58" s="496">
        <f>IF(D11="","-",+C57+1)</f>
        <v>2059</v>
      </c>
      <c r="D58" s="509">
        <f>IF(F57+SUM(E$17:E57)=D$10,F57,D$10-SUM(E$17:E57))</f>
        <v>0</v>
      </c>
      <c r="E58" s="510">
        <f t="shared" si="11"/>
        <v>0</v>
      </c>
      <c r="F58" s="511">
        <f t="shared" si="12"/>
        <v>0</v>
      </c>
      <c r="G58" s="512">
        <f t="shared" si="13"/>
        <v>0</v>
      </c>
      <c r="H58" s="478">
        <f t="shared" si="14"/>
        <v>0</v>
      </c>
      <c r="I58" s="501">
        <f t="shared" si="1"/>
        <v>0</v>
      </c>
      <c r="J58" s="501"/>
      <c r="K58" s="513"/>
      <c r="L58" s="505">
        <f t="shared" si="3"/>
        <v>0</v>
      </c>
      <c r="M58" s="513"/>
      <c r="N58" s="505">
        <f t="shared" si="5"/>
        <v>0</v>
      </c>
      <c r="O58" s="505">
        <f t="shared" si="6"/>
        <v>0</v>
      </c>
      <c r="P58" s="279"/>
    </row>
    <row r="59" spans="2:16" ht="12.5">
      <c r="B59" s="145" t="str">
        <f t="shared" si="0"/>
        <v/>
      </c>
      <c r="C59" s="496">
        <f>IF(D11="","-",+C58+1)</f>
        <v>2060</v>
      </c>
      <c r="D59" s="509">
        <f>IF(F58+SUM(E$17:E58)=D$10,F58,D$10-SUM(E$17:E58))</f>
        <v>0</v>
      </c>
      <c r="E59" s="510">
        <f t="shared" si="11"/>
        <v>0</v>
      </c>
      <c r="F59" s="511">
        <f t="shared" si="12"/>
        <v>0</v>
      </c>
      <c r="G59" s="512">
        <f t="shared" si="13"/>
        <v>0</v>
      </c>
      <c r="H59" s="478">
        <f t="shared" si="14"/>
        <v>0</v>
      </c>
      <c r="I59" s="501">
        <f t="shared" si="1"/>
        <v>0</v>
      </c>
      <c r="J59" s="501"/>
      <c r="K59" s="513"/>
      <c r="L59" s="505">
        <f t="shared" si="3"/>
        <v>0</v>
      </c>
      <c r="M59" s="513"/>
      <c r="N59" s="505">
        <f t="shared" si="5"/>
        <v>0</v>
      </c>
      <c r="O59" s="505">
        <f t="shared" si="6"/>
        <v>0</v>
      </c>
      <c r="P59" s="279"/>
    </row>
    <row r="60" spans="2:16" ht="12.5">
      <c r="B60" s="145" t="str">
        <f t="shared" si="0"/>
        <v/>
      </c>
      <c r="C60" s="496">
        <f>IF(D11="","-",+C59+1)</f>
        <v>2061</v>
      </c>
      <c r="D60" s="509">
        <f>IF(F59+SUM(E$17:E59)=D$10,F59,D$10-SUM(E$17:E59))</f>
        <v>0</v>
      </c>
      <c r="E60" s="510">
        <f t="shared" si="11"/>
        <v>0</v>
      </c>
      <c r="F60" s="511">
        <f t="shared" si="12"/>
        <v>0</v>
      </c>
      <c r="G60" s="512">
        <f t="shared" si="13"/>
        <v>0</v>
      </c>
      <c r="H60" s="478">
        <f t="shared" si="14"/>
        <v>0</v>
      </c>
      <c r="I60" s="501">
        <f t="shared" si="1"/>
        <v>0</v>
      </c>
      <c r="J60" s="501"/>
      <c r="K60" s="513"/>
      <c r="L60" s="505">
        <f t="shared" si="3"/>
        <v>0</v>
      </c>
      <c r="M60" s="513"/>
      <c r="N60" s="505">
        <f t="shared" si="5"/>
        <v>0</v>
      </c>
      <c r="O60" s="505">
        <f t="shared" si="6"/>
        <v>0</v>
      </c>
      <c r="P60" s="279"/>
    </row>
    <row r="61" spans="2:16" ht="12.5">
      <c r="B61" s="145" t="str">
        <f t="shared" si="0"/>
        <v/>
      </c>
      <c r="C61" s="496">
        <f>IF(D11="","-",+C60+1)</f>
        <v>2062</v>
      </c>
      <c r="D61" s="509">
        <f>IF(F60+SUM(E$17:E60)=D$10,F60,D$10-SUM(E$17:E60))</f>
        <v>0</v>
      </c>
      <c r="E61" s="510">
        <f t="shared" si="11"/>
        <v>0</v>
      </c>
      <c r="F61" s="511">
        <f t="shared" si="12"/>
        <v>0</v>
      </c>
      <c r="G61" s="524">
        <f t="shared" si="13"/>
        <v>0</v>
      </c>
      <c r="H61" s="478">
        <f t="shared" si="14"/>
        <v>0</v>
      </c>
      <c r="I61" s="501">
        <f t="shared" si="1"/>
        <v>0</v>
      </c>
      <c r="J61" s="501"/>
      <c r="K61" s="513"/>
      <c r="L61" s="505">
        <f t="shared" si="3"/>
        <v>0</v>
      </c>
      <c r="M61" s="513"/>
      <c r="N61" s="505">
        <f t="shared" si="5"/>
        <v>0</v>
      </c>
      <c r="O61" s="505">
        <f t="shared" si="6"/>
        <v>0</v>
      </c>
      <c r="P61" s="279"/>
    </row>
    <row r="62" spans="2:16" ht="12.5">
      <c r="B62" s="145" t="str">
        <f t="shared" si="0"/>
        <v/>
      </c>
      <c r="C62" s="496">
        <f>IF(D11="","-",+C61+1)</f>
        <v>2063</v>
      </c>
      <c r="D62" s="509">
        <f>IF(F61+SUM(E$17:E61)=D$10,F61,D$10-SUM(E$17:E61))</f>
        <v>0</v>
      </c>
      <c r="E62" s="510">
        <f t="shared" si="11"/>
        <v>0</v>
      </c>
      <c r="F62" s="511">
        <f t="shared" si="12"/>
        <v>0</v>
      </c>
      <c r="G62" s="524">
        <f t="shared" si="13"/>
        <v>0</v>
      </c>
      <c r="H62" s="478">
        <f t="shared" si="14"/>
        <v>0</v>
      </c>
      <c r="I62" s="501">
        <f t="shared" si="1"/>
        <v>0</v>
      </c>
      <c r="J62" s="501"/>
      <c r="K62" s="513"/>
      <c r="L62" s="505">
        <f t="shared" si="3"/>
        <v>0</v>
      </c>
      <c r="M62" s="513"/>
      <c r="N62" s="505">
        <f t="shared" si="5"/>
        <v>0</v>
      </c>
      <c r="O62" s="505">
        <f t="shared" si="6"/>
        <v>0</v>
      </c>
      <c r="P62" s="279"/>
    </row>
    <row r="63" spans="2:16" ht="12.5">
      <c r="B63" s="145" t="str">
        <f t="shared" si="0"/>
        <v/>
      </c>
      <c r="C63" s="496">
        <f>IF(D11="","-",+C62+1)</f>
        <v>2064</v>
      </c>
      <c r="D63" s="509">
        <f>IF(F62+SUM(E$17:E62)=D$10,F62,D$10-SUM(E$17:E62))</f>
        <v>0</v>
      </c>
      <c r="E63" s="510">
        <f t="shared" si="11"/>
        <v>0</v>
      </c>
      <c r="F63" s="511">
        <f t="shared" si="12"/>
        <v>0</v>
      </c>
      <c r="G63" s="524">
        <f t="shared" si="13"/>
        <v>0</v>
      </c>
      <c r="H63" s="478">
        <f t="shared" si="14"/>
        <v>0</v>
      </c>
      <c r="I63" s="501">
        <f t="shared" si="1"/>
        <v>0</v>
      </c>
      <c r="J63" s="501"/>
      <c r="K63" s="513"/>
      <c r="L63" s="505">
        <f t="shared" si="3"/>
        <v>0</v>
      </c>
      <c r="M63" s="513"/>
      <c r="N63" s="505">
        <f t="shared" si="5"/>
        <v>0</v>
      </c>
      <c r="O63" s="505">
        <f t="shared" si="6"/>
        <v>0</v>
      </c>
      <c r="P63" s="279"/>
    </row>
    <row r="64" spans="2:16" ht="12.5">
      <c r="B64" s="145" t="str">
        <f t="shared" si="0"/>
        <v/>
      </c>
      <c r="C64" s="496">
        <f>IF(D11="","-",+C63+1)</f>
        <v>2065</v>
      </c>
      <c r="D64" s="509">
        <f>IF(F63+SUM(E$17:E63)=D$10,F63,D$10-SUM(E$17:E63))</f>
        <v>0</v>
      </c>
      <c r="E64" s="510">
        <f t="shared" si="11"/>
        <v>0</v>
      </c>
      <c r="F64" s="511">
        <f t="shared" si="12"/>
        <v>0</v>
      </c>
      <c r="G64" s="524">
        <f t="shared" si="13"/>
        <v>0</v>
      </c>
      <c r="H64" s="478">
        <f t="shared" si="14"/>
        <v>0</v>
      </c>
      <c r="I64" s="501">
        <f t="shared" si="1"/>
        <v>0</v>
      </c>
      <c r="J64" s="501"/>
      <c r="K64" s="513"/>
      <c r="L64" s="505">
        <f t="shared" si="3"/>
        <v>0</v>
      </c>
      <c r="M64" s="513"/>
      <c r="N64" s="505">
        <f t="shared" si="5"/>
        <v>0</v>
      </c>
      <c r="O64" s="505">
        <f t="shared" si="6"/>
        <v>0</v>
      </c>
      <c r="P64" s="279"/>
    </row>
    <row r="65" spans="2:16" ht="12.5">
      <c r="B65" s="145" t="str">
        <f t="shared" si="0"/>
        <v/>
      </c>
      <c r="C65" s="496">
        <f>IF(D11="","-",+C64+1)</f>
        <v>2066</v>
      </c>
      <c r="D65" s="509">
        <f>IF(F64+SUM(E$17:E64)=D$10,F64,D$10-SUM(E$17:E64))</f>
        <v>0</v>
      </c>
      <c r="E65" s="510">
        <f t="shared" si="11"/>
        <v>0</v>
      </c>
      <c r="F65" s="511">
        <f t="shared" si="12"/>
        <v>0</v>
      </c>
      <c r="G65" s="524">
        <f t="shared" si="13"/>
        <v>0</v>
      </c>
      <c r="H65" s="478">
        <f t="shared" si="14"/>
        <v>0</v>
      </c>
      <c r="I65" s="501">
        <f t="shared" si="1"/>
        <v>0</v>
      </c>
      <c r="J65" s="501"/>
      <c r="K65" s="513"/>
      <c r="L65" s="505">
        <f t="shared" si="3"/>
        <v>0</v>
      </c>
      <c r="M65" s="513"/>
      <c r="N65" s="505">
        <f t="shared" si="5"/>
        <v>0</v>
      </c>
      <c r="O65" s="505">
        <f t="shared" si="6"/>
        <v>0</v>
      </c>
      <c r="P65" s="279"/>
    </row>
    <row r="66" spans="2:16" ht="12.5">
      <c r="B66" s="145" t="str">
        <f t="shared" si="0"/>
        <v/>
      </c>
      <c r="C66" s="496">
        <f>IF(D11="","-",+C65+1)</f>
        <v>2067</v>
      </c>
      <c r="D66" s="509">
        <f>IF(F65+SUM(E$17:E65)=D$10,F65,D$10-SUM(E$17:E65))</f>
        <v>0</v>
      </c>
      <c r="E66" s="510">
        <f t="shared" si="11"/>
        <v>0</v>
      </c>
      <c r="F66" s="511">
        <f t="shared" si="12"/>
        <v>0</v>
      </c>
      <c r="G66" s="524">
        <f t="shared" si="13"/>
        <v>0</v>
      </c>
      <c r="H66" s="478">
        <f t="shared" si="14"/>
        <v>0</v>
      </c>
      <c r="I66" s="501">
        <f t="shared" si="1"/>
        <v>0</v>
      </c>
      <c r="J66" s="501"/>
      <c r="K66" s="513"/>
      <c r="L66" s="505">
        <f t="shared" si="3"/>
        <v>0</v>
      </c>
      <c r="M66" s="513"/>
      <c r="N66" s="505">
        <f t="shared" si="5"/>
        <v>0</v>
      </c>
      <c r="O66" s="505">
        <f t="shared" si="6"/>
        <v>0</v>
      </c>
      <c r="P66" s="279"/>
    </row>
    <row r="67" spans="2:16" ht="12.5">
      <c r="B67" s="145" t="str">
        <f t="shared" si="0"/>
        <v/>
      </c>
      <c r="C67" s="496">
        <f>IF(D11="","-",+C66+1)</f>
        <v>2068</v>
      </c>
      <c r="D67" s="509">
        <f>IF(F66+SUM(E$17:E66)=D$10,F66,D$10-SUM(E$17:E66))</f>
        <v>0</v>
      </c>
      <c r="E67" s="510">
        <f t="shared" si="11"/>
        <v>0</v>
      </c>
      <c r="F67" s="511">
        <f t="shared" si="12"/>
        <v>0</v>
      </c>
      <c r="G67" s="524">
        <f t="shared" si="13"/>
        <v>0</v>
      </c>
      <c r="H67" s="478">
        <f t="shared" si="14"/>
        <v>0</v>
      </c>
      <c r="I67" s="501">
        <f t="shared" si="1"/>
        <v>0</v>
      </c>
      <c r="J67" s="501"/>
      <c r="K67" s="513"/>
      <c r="L67" s="505">
        <f t="shared" si="3"/>
        <v>0</v>
      </c>
      <c r="M67" s="513"/>
      <c r="N67" s="505">
        <f t="shared" si="5"/>
        <v>0</v>
      </c>
      <c r="O67" s="505">
        <f t="shared" si="6"/>
        <v>0</v>
      </c>
      <c r="P67" s="279"/>
    </row>
    <row r="68" spans="2:16" ht="12.5">
      <c r="B68" s="145" t="str">
        <f t="shared" si="0"/>
        <v/>
      </c>
      <c r="C68" s="496">
        <f>IF(D11="","-",+C67+1)</f>
        <v>2069</v>
      </c>
      <c r="D68" s="509">
        <f>IF(F67+SUM(E$17:E67)=D$10,F67,D$10-SUM(E$17:E67))</f>
        <v>0</v>
      </c>
      <c r="E68" s="510">
        <f t="shared" si="11"/>
        <v>0</v>
      </c>
      <c r="F68" s="511">
        <f t="shared" si="12"/>
        <v>0</v>
      </c>
      <c r="G68" s="524">
        <f t="shared" si="13"/>
        <v>0</v>
      </c>
      <c r="H68" s="478">
        <f t="shared" si="14"/>
        <v>0</v>
      </c>
      <c r="I68" s="501">
        <f t="shared" si="1"/>
        <v>0</v>
      </c>
      <c r="J68" s="501"/>
      <c r="K68" s="513"/>
      <c r="L68" s="505">
        <f t="shared" si="3"/>
        <v>0</v>
      </c>
      <c r="M68" s="513"/>
      <c r="N68" s="505">
        <f t="shared" si="5"/>
        <v>0</v>
      </c>
      <c r="O68" s="505">
        <f t="shared" si="6"/>
        <v>0</v>
      </c>
      <c r="P68" s="279"/>
    </row>
    <row r="69" spans="2:16" ht="12.5">
      <c r="B69" s="145" t="str">
        <f t="shared" si="0"/>
        <v/>
      </c>
      <c r="C69" s="496">
        <f>IF(D11="","-",+C68+1)</f>
        <v>2070</v>
      </c>
      <c r="D69" s="509">
        <f>IF(F68+SUM(E$17:E68)=D$10,F68,D$10-SUM(E$17:E68))</f>
        <v>0</v>
      </c>
      <c r="E69" s="510">
        <f t="shared" si="11"/>
        <v>0</v>
      </c>
      <c r="F69" s="511">
        <f t="shared" si="12"/>
        <v>0</v>
      </c>
      <c r="G69" s="524">
        <f t="shared" si="13"/>
        <v>0</v>
      </c>
      <c r="H69" s="478">
        <f t="shared" si="14"/>
        <v>0</v>
      </c>
      <c r="I69" s="501">
        <f t="shared" si="1"/>
        <v>0</v>
      </c>
      <c r="J69" s="501"/>
      <c r="K69" s="513"/>
      <c r="L69" s="505">
        <f t="shared" si="3"/>
        <v>0</v>
      </c>
      <c r="M69" s="513"/>
      <c r="N69" s="505">
        <f t="shared" si="5"/>
        <v>0</v>
      </c>
      <c r="O69" s="505">
        <f t="shared" si="6"/>
        <v>0</v>
      </c>
      <c r="P69" s="279"/>
    </row>
    <row r="70" spans="2:16" ht="12.5">
      <c r="B70" s="145" t="str">
        <f t="shared" si="0"/>
        <v/>
      </c>
      <c r="C70" s="496">
        <f>IF(D11="","-",+C69+1)</f>
        <v>2071</v>
      </c>
      <c r="D70" s="509">
        <f>IF(F69+SUM(E$17:E69)=D$10,F69,D$10-SUM(E$17:E69))</f>
        <v>0</v>
      </c>
      <c r="E70" s="510">
        <f t="shared" si="11"/>
        <v>0</v>
      </c>
      <c r="F70" s="511">
        <f t="shared" si="12"/>
        <v>0</v>
      </c>
      <c r="G70" s="524">
        <f t="shared" si="13"/>
        <v>0</v>
      </c>
      <c r="H70" s="478">
        <f t="shared" si="14"/>
        <v>0</v>
      </c>
      <c r="I70" s="501">
        <f t="shared" si="1"/>
        <v>0</v>
      </c>
      <c r="J70" s="501"/>
      <c r="K70" s="513"/>
      <c r="L70" s="505">
        <f t="shared" si="3"/>
        <v>0</v>
      </c>
      <c r="M70" s="513"/>
      <c r="N70" s="505">
        <f t="shared" si="5"/>
        <v>0</v>
      </c>
      <c r="O70" s="505">
        <f t="shared" si="6"/>
        <v>0</v>
      </c>
      <c r="P70" s="279"/>
    </row>
    <row r="71" spans="2:16" ht="12.5">
      <c r="B71" s="145" t="str">
        <f t="shared" si="0"/>
        <v/>
      </c>
      <c r="C71" s="496">
        <f>IF(D11="","-",+C70+1)</f>
        <v>2072</v>
      </c>
      <c r="D71" s="509">
        <f>IF(F70+SUM(E$17:E70)=D$10,F70,D$10-SUM(E$17:E70))</f>
        <v>0</v>
      </c>
      <c r="E71" s="510">
        <f t="shared" si="11"/>
        <v>0</v>
      </c>
      <c r="F71" s="511">
        <f t="shared" si="12"/>
        <v>0</v>
      </c>
      <c r="G71" s="524">
        <f t="shared" si="13"/>
        <v>0</v>
      </c>
      <c r="H71" s="478">
        <f t="shared" si="14"/>
        <v>0</v>
      </c>
      <c r="I71" s="501">
        <f t="shared" si="1"/>
        <v>0</v>
      </c>
      <c r="J71" s="501"/>
      <c r="K71" s="513"/>
      <c r="L71" s="505">
        <f t="shared" si="3"/>
        <v>0</v>
      </c>
      <c r="M71" s="513"/>
      <c r="N71" s="505">
        <f t="shared" si="5"/>
        <v>0</v>
      </c>
      <c r="O71" s="505">
        <f t="shared" si="6"/>
        <v>0</v>
      </c>
      <c r="P71" s="279"/>
    </row>
    <row r="72" spans="2:16" ht="12.5">
      <c r="C72" s="496">
        <f>IF(D12="","-",+C71+1)</f>
        <v>2073</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2074</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17093290</v>
      </c>
      <c r="F74" s="295"/>
      <c r="G74" s="295">
        <f>SUM(G17:G73)</f>
        <v>49984218.848577924</v>
      </c>
      <c r="H74" s="295">
        <f>SUM(H17:H73)</f>
        <v>49984218.848577924</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18 of 23</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2023</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2268927.6783923553</v>
      </c>
      <c r="N88" s="545">
        <f>IF(J93&lt;D11,0,VLOOKUP(J93,C17:O73,11))</f>
        <v>2268927.6783923553</v>
      </c>
      <c r="O88" s="546">
        <f>+N88-M88</f>
        <v>0</v>
      </c>
      <c r="P88" s="244"/>
    </row>
    <row r="89" spans="1:16" ht="15.5">
      <c r="C89" s="236"/>
      <c r="D89" s="293"/>
      <c r="E89" s="244"/>
      <c r="F89" s="244"/>
      <c r="G89" s="244"/>
      <c r="H89" s="244"/>
      <c r="I89" s="450"/>
      <c r="J89" s="450"/>
      <c r="K89" s="547"/>
      <c r="L89" s="548" t="s">
        <v>254</v>
      </c>
      <c r="M89" s="549">
        <f>IF(J93&lt;D11,0,VLOOKUP(J93,C100:P155,6))</f>
        <v>2388645.7763541322</v>
      </c>
      <c r="N89" s="549">
        <f>IF(J93&lt;D11,0,VLOOKUP(J93,C100:P155,7))</f>
        <v>2388645.7763541322</v>
      </c>
      <c r="O89" s="550">
        <f>+N89-M89</f>
        <v>0</v>
      </c>
      <c r="P89" s="244"/>
    </row>
    <row r="90" spans="1:16" ht="13.5" thickBot="1">
      <c r="C90" s="455" t="s">
        <v>82</v>
      </c>
      <c r="D90" s="551" t="str">
        <f>+D7</f>
        <v>Fort Towson-Valliant 69 KV Line Rebuild</v>
      </c>
      <c r="E90" s="244"/>
      <c r="F90" s="244"/>
      <c r="G90" s="244"/>
      <c r="H90" s="244"/>
      <c r="I90" s="326"/>
      <c r="J90" s="326"/>
      <c r="K90" s="552"/>
      <c r="L90" s="553" t="s">
        <v>135</v>
      </c>
      <c r="M90" s="554">
        <f>+M89-M88</f>
        <v>119718.09796177689</v>
      </c>
      <c r="N90" s="554">
        <f>+N89-N88</f>
        <v>119718.09796177689</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TP2015204</v>
      </c>
      <c r="E92" s="559"/>
      <c r="F92" s="559"/>
      <c r="G92" s="559"/>
      <c r="H92" s="559"/>
      <c r="I92" s="559"/>
      <c r="J92" s="559"/>
      <c r="K92" s="561"/>
      <c r="P92" s="469"/>
    </row>
    <row r="93" spans="1:16" ht="13">
      <c r="C93" s="473" t="s">
        <v>49</v>
      </c>
      <c r="D93" s="475">
        <f>D10</f>
        <v>17093290</v>
      </c>
      <c r="E93" s="249" t="s">
        <v>84</v>
      </c>
      <c r="H93" s="409"/>
      <c r="I93" s="409"/>
      <c r="J93" s="472">
        <f>+'OKT.WS.G.BPU.ATRR.True-up'!M16</f>
        <v>2023</v>
      </c>
      <c r="K93" s="468"/>
      <c r="L93" s="295" t="s">
        <v>85</v>
      </c>
      <c r="P93" s="279"/>
    </row>
    <row r="94" spans="1:16" ht="12.5">
      <c r="C94" s="473" t="s">
        <v>52</v>
      </c>
      <c r="D94" s="562">
        <f>IF(D11="","",D11)</f>
        <v>2018</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562">
        <f>IF(D12="","",D12)</f>
        <v>12</v>
      </c>
      <c r="E95" s="473" t="s">
        <v>55</v>
      </c>
      <c r="F95" s="409"/>
      <c r="G95" s="409"/>
      <c r="J95" s="477">
        <f>'OKT.WS.G.BPU.ATRR.True-up'!$F$81</f>
        <v>0.10963416019310859</v>
      </c>
      <c r="K95" s="414"/>
      <c r="L95" s="145" t="s">
        <v>86</v>
      </c>
      <c r="P95" s="279"/>
    </row>
    <row r="96" spans="1:16" ht="12.5">
      <c r="C96" s="473" t="s">
        <v>57</v>
      </c>
      <c r="D96" s="475">
        <f>'OKT.WS.G.BPU.ATRR.True-up'!F$93</f>
        <v>19</v>
      </c>
      <c r="E96" s="473" t="s">
        <v>58</v>
      </c>
      <c r="F96" s="409"/>
      <c r="G96" s="409"/>
      <c r="J96" s="477">
        <f>IF(H88="",J95,'OKT.WS.G.BPU.ATRR.True-up'!$F$80)</f>
        <v>0.10963416019310859</v>
      </c>
      <c r="K96" s="292"/>
      <c r="L96" s="295" t="s">
        <v>59</v>
      </c>
      <c r="M96" s="292"/>
      <c r="N96" s="292"/>
      <c r="O96" s="292"/>
      <c r="P96" s="279"/>
    </row>
    <row r="97" spans="1:16" ht="13" thickBot="1">
      <c r="C97" s="473" t="s">
        <v>60</v>
      </c>
      <c r="D97" s="563" t="str">
        <f>+D14</f>
        <v>No</v>
      </c>
      <c r="E97" s="564" t="s">
        <v>62</v>
      </c>
      <c r="F97" s="565"/>
      <c r="G97" s="565"/>
      <c r="H97" s="566"/>
      <c r="I97" s="566"/>
      <c r="J97" s="459">
        <f>IF(D93=0,0,D93/D96)</f>
        <v>899646.84210526315</v>
      </c>
      <c r="K97" s="295"/>
      <c r="L97" s="295"/>
      <c r="M97" s="295"/>
      <c r="N97" s="295"/>
      <c r="O97" s="295"/>
      <c r="P97" s="279"/>
    </row>
    <row r="98" spans="1:16"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ht="12.5">
      <c r="B100" s="145" t="str">
        <f t="shared" ref="B100:B155" si="15">IF(D100=F99,"","IU")</f>
        <v>IU</v>
      </c>
      <c r="C100" s="496">
        <f>IF(D94= "","-",D94)</f>
        <v>2018</v>
      </c>
      <c r="D100" s="497">
        <v>15445577.166666666</v>
      </c>
      <c r="E100" s="499">
        <v>435826.05555555556</v>
      </c>
      <c r="F100" s="506">
        <v>15009751.11111111</v>
      </c>
      <c r="G100" s="506">
        <v>15227664.138888888</v>
      </c>
      <c r="H100" s="499">
        <v>2043295.5761149421</v>
      </c>
      <c r="I100" s="500">
        <v>2043295.5761149421</v>
      </c>
      <c r="J100" s="505">
        <f t="shared" ref="J100:J131" si="16">+I100-H100</f>
        <v>0</v>
      </c>
      <c r="K100" s="505"/>
      <c r="L100" s="507">
        <f>+H100</f>
        <v>2043295.5761149421</v>
      </c>
      <c r="M100" s="505">
        <f t="shared" ref="M100" si="17">IF(L100&lt;&gt;0,+H100-L100,0)</f>
        <v>0</v>
      </c>
      <c r="N100" s="507">
        <f>+I100</f>
        <v>2043295.5761149421</v>
      </c>
      <c r="O100" s="587">
        <f t="shared" ref="O100" si="18">IF(N100&lt;&gt;0,+I100-N100,0)</f>
        <v>0</v>
      </c>
      <c r="P100" s="505">
        <f t="shared" ref="P100" si="19">+O100-M100</f>
        <v>0</v>
      </c>
    </row>
    <row r="101" spans="1:16" ht="12.5">
      <c r="B101" s="145" t="str">
        <f t="shared" si="15"/>
        <v>IU</v>
      </c>
      <c r="C101" s="496">
        <f>IF(D94="","-",+C100+1)</f>
        <v>2019</v>
      </c>
      <c r="D101" s="497">
        <v>16656350.944444444</v>
      </c>
      <c r="E101" s="499">
        <v>517944.75757575757</v>
      </c>
      <c r="F101" s="506">
        <v>16138406.186868686</v>
      </c>
      <c r="G101" s="506">
        <v>16397378.565656565</v>
      </c>
      <c r="H101" s="499">
        <v>2289012.9236645</v>
      </c>
      <c r="I101" s="500">
        <v>2289012.9236645</v>
      </c>
      <c r="J101" s="505">
        <f t="shared" si="16"/>
        <v>0</v>
      </c>
      <c r="K101" s="505"/>
      <c r="L101" s="507">
        <f>H101</f>
        <v>2289012.9236645</v>
      </c>
      <c r="M101" s="505">
        <f>IF(L101&lt;&gt;0,+H101-L101,0)</f>
        <v>0</v>
      </c>
      <c r="N101" s="507">
        <f>I101</f>
        <v>2289012.9236645</v>
      </c>
      <c r="O101" s="505">
        <f t="shared" ref="O101:O131" si="20">IF(N101&lt;&gt;0,+I101-N101,0)</f>
        <v>0</v>
      </c>
      <c r="P101" s="505">
        <f t="shared" ref="P101:P131" si="21">+O101-M101</f>
        <v>0</v>
      </c>
    </row>
    <row r="102" spans="1:16" ht="12.5">
      <c r="B102" s="145" t="str">
        <f t="shared" si="15"/>
        <v>IU</v>
      </c>
      <c r="C102" s="496">
        <f>IF(D94="","-",+C101+1)</f>
        <v>2020</v>
      </c>
      <c r="D102" s="497">
        <v>16139509.186868686</v>
      </c>
      <c r="E102" s="499">
        <v>610474.28571428568</v>
      </c>
      <c r="F102" s="506">
        <v>15529034.901154401</v>
      </c>
      <c r="G102" s="506">
        <v>15834272.044011544</v>
      </c>
      <c r="H102" s="499">
        <v>2295454.5775651671</v>
      </c>
      <c r="I102" s="500">
        <v>2295454.5775651671</v>
      </c>
      <c r="J102" s="505">
        <f t="shared" si="16"/>
        <v>0</v>
      </c>
      <c r="K102" s="505"/>
      <c r="L102" s="507">
        <f>H102</f>
        <v>2295454.5775651671</v>
      </c>
      <c r="M102" s="505">
        <f>IF(L102&lt;&gt;0,+H102-L102,0)</f>
        <v>0</v>
      </c>
      <c r="N102" s="507">
        <f>I102</f>
        <v>2295454.5775651671</v>
      </c>
      <c r="O102" s="505">
        <f t="shared" si="20"/>
        <v>0</v>
      </c>
      <c r="P102" s="505">
        <f t="shared" si="21"/>
        <v>0</v>
      </c>
    </row>
    <row r="103" spans="1:16" ht="12.5">
      <c r="B103" s="145" t="str">
        <f t="shared" si="15"/>
        <v>IU</v>
      </c>
      <c r="C103" s="496">
        <f>IF(D94="","-",+C102+1)</f>
        <v>2021</v>
      </c>
      <c r="D103" s="497">
        <v>15529045.901154401</v>
      </c>
      <c r="E103" s="499">
        <v>683731.64</v>
      </c>
      <c r="F103" s="506">
        <v>14845314.2611544</v>
      </c>
      <c r="G103" s="506">
        <v>15187180.0811544</v>
      </c>
      <c r="H103" s="499">
        <v>2475241.9762378884</v>
      </c>
      <c r="I103" s="500">
        <v>2475241.9762378884</v>
      </c>
      <c r="J103" s="505">
        <f t="shared" si="16"/>
        <v>0</v>
      </c>
      <c r="K103" s="505"/>
      <c r="L103" s="507">
        <f>H103</f>
        <v>2475241.9762378884</v>
      </c>
      <c r="M103" s="505">
        <f>IF(L103&lt;&gt;0,+H103-L103,0)</f>
        <v>0</v>
      </c>
      <c r="N103" s="507">
        <f>I103</f>
        <v>2475241.9762378884</v>
      </c>
      <c r="O103" s="505">
        <f t="shared" si="20"/>
        <v>0</v>
      </c>
      <c r="P103" s="505">
        <f t="shared" si="21"/>
        <v>0</v>
      </c>
    </row>
    <row r="104" spans="1:16" ht="12.5">
      <c r="B104" s="145" t="str">
        <f t="shared" si="15"/>
        <v/>
      </c>
      <c r="C104" s="496">
        <f>IF(D94="","-",+C103+1)</f>
        <v>2022</v>
      </c>
      <c r="D104" s="497">
        <v>14845314.2611544</v>
      </c>
      <c r="E104" s="499">
        <v>813966.23809523811</v>
      </c>
      <c r="F104" s="506">
        <v>14031348.023059161</v>
      </c>
      <c r="G104" s="506">
        <v>14438331.142106781</v>
      </c>
      <c r="H104" s="499">
        <v>2473883.6471460098</v>
      </c>
      <c r="I104" s="500">
        <v>2473883.6471460098</v>
      </c>
      <c r="J104" s="505">
        <f t="shared" si="16"/>
        <v>0</v>
      </c>
      <c r="K104" s="505"/>
      <c r="L104" s="507">
        <f>H104</f>
        <v>2473883.6471460098</v>
      </c>
      <c r="M104" s="505">
        <f>IF(L104&lt;&gt;0,+H104-L104,0)</f>
        <v>0</v>
      </c>
      <c r="N104" s="507">
        <f>I104</f>
        <v>2473883.6471460098</v>
      </c>
      <c r="O104" s="505">
        <f t="shared" ref="O104" si="22">IF(N104&lt;&gt;0,+I104-N104,0)</f>
        <v>0</v>
      </c>
      <c r="P104" s="505">
        <f t="shared" ref="P104" si="23">+O104-M104</f>
        <v>0</v>
      </c>
    </row>
    <row r="105" spans="1:16" ht="12.5">
      <c r="B105" s="145" t="str">
        <f t="shared" si="15"/>
        <v>IU</v>
      </c>
      <c r="C105" s="496">
        <f>IF(D94="","-",+C104+1)</f>
        <v>2023</v>
      </c>
      <c r="D105" s="350">
        <f>IF(F104+SUM(E$100:E104)=D$93,F104,D$93-SUM(E$100:E104))</f>
        <v>14031347.023059163</v>
      </c>
      <c r="E105" s="510">
        <f t="shared" ref="E105:E155" si="24">IF(+J$97&lt;F104,J$97,D105)</f>
        <v>899646.84210526315</v>
      </c>
      <c r="F105" s="511">
        <f t="shared" ref="F105:F155" si="25">+D105-E105</f>
        <v>13131700.180953899</v>
      </c>
      <c r="G105" s="511">
        <f t="shared" ref="G105:G155" si="26">+(F105+D105)/2</f>
        <v>13581523.602006532</v>
      </c>
      <c r="H105" s="645">
        <f t="shared" ref="H105:H155" si="27">(D105+F105)/2*J$95+E105</f>
        <v>2388645.7763541322</v>
      </c>
      <c r="I105" s="628">
        <f t="shared" ref="I105:I155" si="28">+J$96*G105+E105</f>
        <v>2388645.7763541322</v>
      </c>
      <c r="J105" s="505">
        <f t="shared" si="16"/>
        <v>0</v>
      </c>
      <c r="K105" s="505"/>
      <c r="L105" s="513"/>
      <c r="M105" s="505">
        <f t="shared" ref="M105:M131" si="29">IF(L105&lt;&gt;0,+H105-L105,0)</f>
        <v>0</v>
      </c>
      <c r="N105" s="513"/>
      <c r="O105" s="505">
        <f t="shared" si="20"/>
        <v>0</v>
      </c>
      <c r="P105" s="505">
        <f t="shared" si="21"/>
        <v>0</v>
      </c>
    </row>
    <row r="106" spans="1:16" ht="12.5">
      <c r="B106" s="145" t="str">
        <f t="shared" si="15"/>
        <v/>
      </c>
      <c r="C106" s="496">
        <f>IF(D94="","-",+C105+1)</f>
        <v>2024</v>
      </c>
      <c r="D106" s="350">
        <f>IF(F105+SUM(E$100:E105)=D$93,F105,D$93-SUM(E$100:E105))</f>
        <v>13131700.180953899</v>
      </c>
      <c r="E106" s="510">
        <f t="shared" si="24"/>
        <v>899646.84210526315</v>
      </c>
      <c r="F106" s="511">
        <f t="shared" si="25"/>
        <v>12232053.338848636</v>
      </c>
      <c r="G106" s="511">
        <f t="shared" si="26"/>
        <v>12681876.759901267</v>
      </c>
      <c r="H106" s="645">
        <f t="shared" si="27"/>
        <v>2290013.7503495393</v>
      </c>
      <c r="I106" s="628">
        <f t="shared" si="28"/>
        <v>2290013.7503495393</v>
      </c>
      <c r="J106" s="505">
        <f t="shared" si="16"/>
        <v>0</v>
      </c>
      <c r="K106" s="505"/>
      <c r="L106" s="513"/>
      <c r="M106" s="505">
        <f t="shared" si="29"/>
        <v>0</v>
      </c>
      <c r="N106" s="513"/>
      <c r="O106" s="505">
        <f t="shared" si="20"/>
        <v>0</v>
      </c>
      <c r="P106" s="505">
        <f t="shared" si="21"/>
        <v>0</v>
      </c>
    </row>
    <row r="107" spans="1:16" ht="12.5">
      <c r="B107" s="145" t="str">
        <f t="shared" si="15"/>
        <v/>
      </c>
      <c r="C107" s="496">
        <f>IF(D94="","-",+C106+1)</f>
        <v>2025</v>
      </c>
      <c r="D107" s="350">
        <f>IF(F106+SUM(E$100:E106)=D$93,F106,D$93-SUM(E$100:E106))</f>
        <v>12232053.338848636</v>
      </c>
      <c r="E107" s="510">
        <f t="shared" si="24"/>
        <v>899646.84210526315</v>
      </c>
      <c r="F107" s="511">
        <f t="shared" si="25"/>
        <v>11332406.496743372</v>
      </c>
      <c r="G107" s="511">
        <f t="shared" si="26"/>
        <v>11782229.917796005</v>
      </c>
      <c r="H107" s="645">
        <f t="shared" si="27"/>
        <v>2191381.7243449469</v>
      </c>
      <c r="I107" s="628">
        <f t="shared" si="28"/>
        <v>2191381.7243449469</v>
      </c>
      <c r="J107" s="505">
        <f t="shared" si="16"/>
        <v>0</v>
      </c>
      <c r="K107" s="505"/>
      <c r="L107" s="513"/>
      <c r="M107" s="505">
        <f t="shared" si="29"/>
        <v>0</v>
      </c>
      <c r="N107" s="513"/>
      <c r="O107" s="505">
        <f t="shared" si="20"/>
        <v>0</v>
      </c>
      <c r="P107" s="505">
        <f t="shared" si="21"/>
        <v>0</v>
      </c>
    </row>
    <row r="108" spans="1:16" ht="12.5">
      <c r="B108" s="145" t="str">
        <f t="shared" si="15"/>
        <v/>
      </c>
      <c r="C108" s="496">
        <f>IF(D94="","-",+C107+1)</f>
        <v>2026</v>
      </c>
      <c r="D108" s="350">
        <f>IF(F107+SUM(E$100:E107)=D$93,F107,D$93-SUM(E$100:E107))</f>
        <v>11332406.496743372</v>
      </c>
      <c r="E108" s="510">
        <f t="shared" si="24"/>
        <v>899646.84210526315</v>
      </c>
      <c r="F108" s="511">
        <f t="shared" si="25"/>
        <v>10432759.654638108</v>
      </c>
      <c r="G108" s="511">
        <f t="shared" si="26"/>
        <v>10882583.075690739</v>
      </c>
      <c r="H108" s="645">
        <f t="shared" si="27"/>
        <v>2092749.698340354</v>
      </c>
      <c r="I108" s="628">
        <f t="shared" si="28"/>
        <v>2092749.698340354</v>
      </c>
      <c r="J108" s="505">
        <f t="shared" si="16"/>
        <v>0</v>
      </c>
      <c r="K108" s="505"/>
      <c r="L108" s="513"/>
      <c r="M108" s="505">
        <f t="shared" si="29"/>
        <v>0</v>
      </c>
      <c r="N108" s="513"/>
      <c r="O108" s="505">
        <f t="shared" si="20"/>
        <v>0</v>
      </c>
      <c r="P108" s="505">
        <f t="shared" si="21"/>
        <v>0</v>
      </c>
    </row>
    <row r="109" spans="1:16" ht="12.5">
      <c r="B109" s="145" t="str">
        <f t="shared" si="15"/>
        <v/>
      </c>
      <c r="C109" s="496">
        <f>IF(D94="","-",+C108+1)</f>
        <v>2027</v>
      </c>
      <c r="D109" s="350">
        <f>IF(F108+SUM(E$100:E108)=D$93,F108,D$93-SUM(E$100:E108))</f>
        <v>10432759.654638108</v>
      </c>
      <c r="E109" s="510">
        <f t="shared" si="24"/>
        <v>899646.84210526315</v>
      </c>
      <c r="F109" s="511">
        <f t="shared" si="25"/>
        <v>9533112.812532844</v>
      </c>
      <c r="G109" s="511">
        <f t="shared" si="26"/>
        <v>9982936.2335854769</v>
      </c>
      <c r="H109" s="645">
        <f t="shared" si="27"/>
        <v>1994117.6723357614</v>
      </c>
      <c r="I109" s="628">
        <f t="shared" si="28"/>
        <v>1994117.6723357614</v>
      </c>
      <c r="J109" s="505">
        <f t="shared" si="16"/>
        <v>0</v>
      </c>
      <c r="K109" s="505"/>
      <c r="L109" s="513"/>
      <c r="M109" s="505">
        <f t="shared" si="29"/>
        <v>0</v>
      </c>
      <c r="N109" s="513"/>
      <c r="O109" s="505">
        <f t="shared" si="20"/>
        <v>0</v>
      </c>
      <c r="P109" s="505">
        <f t="shared" si="21"/>
        <v>0</v>
      </c>
    </row>
    <row r="110" spans="1:16" ht="12.5">
      <c r="B110" s="145" t="str">
        <f t="shared" si="15"/>
        <v/>
      </c>
      <c r="C110" s="496">
        <f>IF(D94="","-",+C109+1)</f>
        <v>2028</v>
      </c>
      <c r="D110" s="350">
        <f>IF(F109+SUM(E$100:E109)=D$93,F109,D$93-SUM(E$100:E109))</f>
        <v>9533112.812532844</v>
      </c>
      <c r="E110" s="510">
        <f t="shared" si="24"/>
        <v>899646.84210526315</v>
      </c>
      <c r="F110" s="511">
        <f t="shared" si="25"/>
        <v>8633465.9704275802</v>
      </c>
      <c r="G110" s="511">
        <f t="shared" si="26"/>
        <v>9083289.3914802112</v>
      </c>
      <c r="H110" s="645">
        <f t="shared" si="27"/>
        <v>1895485.6463311685</v>
      </c>
      <c r="I110" s="628">
        <f t="shared" si="28"/>
        <v>1895485.6463311685</v>
      </c>
      <c r="J110" s="505">
        <f t="shared" si="16"/>
        <v>0</v>
      </c>
      <c r="K110" s="505"/>
      <c r="L110" s="513"/>
      <c r="M110" s="505">
        <f t="shared" si="29"/>
        <v>0</v>
      </c>
      <c r="N110" s="513"/>
      <c r="O110" s="505">
        <f t="shared" si="20"/>
        <v>0</v>
      </c>
      <c r="P110" s="505">
        <f t="shared" si="21"/>
        <v>0</v>
      </c>
    </row>
    <row r="111" spans="1:16" ht="12.5">
      <c r="B111" s="145" t="str">
        <f t="shared" si="15"/>
        <v/>
      </c>
      <c r="C111" s="496">
        <f>IF(D94="","-",+C110+1)</f>
        <v>2029</v>
      </c>
      <c r="D111" s="350">
        <f>IF(F110+SUM(E$100:E110)=D$93,F110,D$93-SUM(E$100:E110))</f>
        <v>8633465.9704275802</v>
      </c>
      <c r="E111" s="510">
        <f t="shared" si="24"/>
        <v>899646.84210526315</v>
      </c>
      <c r="F111" s="511">
        <f t="shared" si="25"/>
        <v>7733819.1283223173</v>
      </c>
      <c r="G111" s="511">
        <f t="shared" si="26"/>
        <v>8183642.5493749492</v>
      </c>
      <c r="H111" s="645">
        <f t="shared" si="27"/>
        <v>1796853.6203265758</v>
      </c>
      <c r="I111" s="628">
        <f t="shared" si="28"/>
        <v>1796853.6203265758</v>
      </c>
      <c r="J111" s="505">
        <f t="shared" si="16"/>
        <v>0</v>
      </c>
      <c r="K111" s="505"/>
      <c r="L111" s="513"/>
      <c r="M111" s="505">
        <f t="shared" si="29"/>
        <v>0</v>
      </c>
      <c r="N111" s="513"/>
      <c r="O111" s="505">
        <f t="shared" si="20"/>
        <v>0</v>
      </c>
      <c r="P111" s="505">
        <f t="shared" si="21"/>
        <v>0</v>
      </c>
    </row>
    <row r="112" spans="1:16" ht="12.5">
      <c r="B112" s="145" t="str">
        <f t="shared" si="15"/>
        <v/>
      </c>
      <c r="C112" s="496">
        <f>IF(D94="","-",+C111+1)</f>
        <v>2030</v>
      </c>
      <c r="D112" s="350">
        <f>IF(F111+SUM(E$100:E111)=D$93,F111,D$93-SUM(E$100:E111))</f>
        <v>7733819.1283223173</v>
      </c>
      <c r="E112" s="510">
        <f t="shared" si="24"/>
        <v>899646.84210526315</v>
      </c>
      <c r="F112" s="511">
        <f t="shared" si="25"/>
        <v>6834172.2862170544</v>
      </c>
      <c r="G112" s="511">
        <f t="shared" si="26"/>
        <v>7283995.7072696853</v>
      </c>
      <c r="H112" s="645">
        <f t="shared" si="27"/>
        <v>1698221.5943219832</v>
      </c>
      <c r="I112" s="628">
        <f t="shared" si="28"/>
        <v>1698221.5943219832</v>
      </c>
      <c r="J112" s="505">
        <f t="shared" si="16"/>
        <v>0</v>
      </c>
      <c r="K112" s="505"/>
      <c r="L112" s="513"/>
      <c r="M112" s="505">
        <f t="shared" si="29"/>
        <v>0</v>
      </c>
      <c r="N112" s="513"/>
      <c r="O112" s="505">
        <f t="shared" si="20"/>
        <v>0</v>
      </c>
      <c r="P112" s="505">
        <f t="shared" si="21"/>
        <v>0</v>
      </c>
    </row>
    <row r="113" spans="2:16" ht="12.5">
      <c r="B113" s="145" t="str">
        <f t="shared" si="15"/>
        <v/>
      </c>
      <c r="C113" s="496">
        <f>IF(D94="","-",+C112+1)</f>
        <v>2031</v>
      </c>
      <c r="D113" s="350">
        <f>IF(F112+SUM(E$100:E112)=D$93,F112,D$93-SUM(E$100:E112))</f>
        <v>6834172.2862170544</v>
      </c>
      <c r="E113" s="510">
        <f t="shared" si="24"/>
        <v>899646.84210526315</v>
      </c>
      <c r="F113" s="511">
        <f t="shared" si="25"/>
        <v>5934525.4441117914</v>
      </c>
      <c r="G113" s="511">
        <f t="shared" si="26"/>
        <v>6384348.8651644234</v>
      </c>
      <c r="H113" s="645">
        <f t="shared" si="27"/>
        <v>1599589.5683173905</v>
      </c>
      <c r="I113" s="628">
        <f t="shared" si="28"/>
        <v>1599589.5683173905</v>
      </c>
      <c r="J113" s="505">
        <f t="shared" si="16"/>
        <v>0</v>
      </c>
      <c r="K113" s="505"/>
      <c r="L113" s="513"/>
      <c r="M113" s="505">
        <f t="shared" si="29"/>
        <v>0</v>
      </c>
      <c r="N113" s="513"/>
      <c r="O113" s="505">
        <f t="shared" si="20"/>
        <v>0</v>
      </c>
      <c r="P113" s="505">
        <f t="shared" si="21"/>
        <v>0</v>
      </c>
    </row>
    <row r="114" spans="2:16" ht="12.5">
      <c r="B114" s="145" t="str">
        <f t="shared" si="15"/>
        <v/>
      </c>
      <c r="C114" s="496">
        <f>IF(D94="","-",+C113+1)</f>
        <v>2032</v>
      </c>
      <c r="D114" s="350">
        <f>IF(F113+SUM(E$100:E113)=D$93,F113,D$93-SUM(E$100:E113))</f>
        <v>5934525.4441117914</v>
      </c>
      <c r="E114" s="510">
        <f t="shared" si="24"/>
        <v>899646.84210526315</v>
      </c>
      <c r="F114" s="511">
        <f t="shared" si="25"/>
        <v>5034878.6020065285</v>
      </c>
      <c r="G114" s="511">
        <f t="shared" si="26"/>
        <v>5484702.0230591595</v>
      </c>
      <c r="H114" s="645">
        <f t="shared" si="27"/>
        <v>1500957.5423127979</v>
      </c>
      <c r="I114" s="628">
        <f t="shared" si="28"/>
        <v>1500957.5423127979</v>
      </c>
      <c r="J114" s="505">
        <f t="shared" si="16"/>
        <v>0</v>
      </c>
      <c r="K114" s="505"/>
      <c r="L114" s="513"/>
      <c r="M114" s="505">
        <f t="shared" si="29"/>
        <v>0</v>
      </c>
      <c r="N114" s="513"/>
      <c r="O114" s="505">
        <f t="shared" si="20"/>
        <v>0</v>
      </c>
      <c r="P114" s="505">
        <f t="shared" si="21"/>
        <v>0</v>
      </c>
    </row>
    <row r="115" spans="2:16" ht="12.5">
      <c r="B115" s="145" t="str">
        <f t="shared" si="15"/>
        <v/>
      </c>
      <c r="C115" s="496">
        <f>IF(D94="","-",+C114+1)</f>
        <v>2033</v>
      </c>
      <c r="D115" s="350">
        <f>IF(F114+SUM(E$100:E114)=D$93,F114,D$93-SUM(E$100:E114))</f>
        <v>5034878.6020065285</v>
      </c>
      <c r="E115" s="510">
        <f t="shared" si="24"/>
        <v>899646.84210526315</v>
      </c>
      <c r="F115" s="511">
        <f t="shared" si="25"/>
        <v>4135231.7599012656</v>
      </c>
      <c r="G115" s="511">
        <f t="shared" si="26"/>
        <v>4585055.1809538975</v>
      </c>
      <c r="H115" s="645">
        <f t="shared" si="27"/>
        <v>1402325.5163082052</v>
      </c>
      <c r="I115" s="628">
        <f t="shared" si="28"/>
        <v>1402325.5163082052</v>
      </c>
      <c r="J115" s="505">
        <f t="shared" si="16"/>
        <v>0</v>
      </c>
      <c r="K115" s="505"/>
      <c r="L115" s="513"/>
      <c r="M115" s="505">
        <f t="shared" si="29"/>
        <v>0</v>
      </c>
      <c r="N115" s="513"/>
      <c r="O115" s="505">
        <f t="shared" si="20"/>
        <v>0</v>
      </c>
      <c r="P115" s="505">
        <f t="shared" si="21"/>
        <v>0</v>
      </c>
    </row>
    <row r="116" spans="2:16" ht="12.5">
      <c r="B116" s="145" t="str">
        <f t="shared" si="15"/>
        <v/>
      </c>
      <c r="C116" s="496">
        <f>IF(D94="","-",+C115+1)</f>
        <v>2034</v>
      </c>
      <c r="D116" s="350">
        <f>IF(F115+SUM(E$100:E115)=D$93,F115,D$93-SUM(E$100:E115))</f>
        <v>4135231.7599012656</v>
      </c>
      <c r="E116" s="510">
        <f t="shared" si="24"/>
        <v>899646.84210526315</v>
      </c>
      <c r="F116" s="511">
        <f t="shared" si="25"/>
        <v>3235584.9177960027</v>
      </c>
      <c r="G116" s="511">
        <f t="shared" si="26"/>
        <v>3685408.3388486342</v>
      </c>
      <c r="H116" s="645">
        <f t="shared" si="27"/>
        <v>1303693.4903036125</v>
      </c>
      <c r="I116" s="628">
        <f t="shared" si="28"/>
        <v>1303693.4903036125</v>
      </c>
      <c r="J116" s="505">
        <f t="shared" si="16"/>
        <v>0</v>
      </c>
      <c r="K116" s="505"/>
      <c r="L116" s="513"/>
      <c r="M116" s="505">
        <f t="shared" si="29"/>
        <v>0</v>
      </c>
      <c r="N116" s="513"/>
      <c r="O116" s="505">
        <f t="shared" si="20"/>
        <v>0</v>
      </c>
      <c r="P116" s="505">
        <f t="shared" si="21"/>
        <v>0</v>
      </c>
    </row>
    <row r="117" spans="2:16" ht="12.5">
      <c r="B117" s="145" t="str">
        <f t="shared" si="15"/>
        <v/>
      </c>
      <c r="C117" s="496">
        <f>IF(D94="","-",+C116+1)</f>
        <v>2035</v>
      </c>
      <c r="D117" s="350">
        <f>IF(F116+SUM(E$100:E116)=D$93,F116,D$93-SUM(E$100:E116))</f>
        <v>3235584.9177960027</v>
      </c>
      <c r="E117" s="510">
        <f t="shared" si="24"/>
        <v>899646.84210526315</v>
      </c>
      <c r="F117" s="511">
        <f t="shared" si="25"/>
        <v>2335938.0756907398</v>
      </c>
      <c r="G117" s="511">
        <f t="shared" si="26"/>
        <v>2785761.4967433712</v>
      </c>
      <c r="H117" s="645">
        <f t="shared" si="27"/>
        <v>1205061.4642990199</v>
      </c>
      <c r="I117" s="628">
        <f t="shared" si="28"/>
        <v>1205061.4642990199</v>
      </c>
      <c r="J117" s="505">
        <f t="shared" si="16"/>
        <v>0</v>
      </c>
      <c r="K117" s="505"/>
      <c r="L117" s="513"/>
      <c r="M117" s="505">
        <f t="shared" si="29"/>
        <v>0</v>
      </c>
      <c r="N117" s="513"/>
      <c r="O117" s="505">
        <f t="shared" si="20"/>
        <v>0</v>
      </c>
      <c r="P117" s="505">
        <f t="shared" si="21"/>
        <v>0</v>
      </c>
    </row>
    <row r="118" spans="2:16" ht="12.5">
      <c r="B118" s="145" t="str">
        <f t="shared" si="15"/>
        <v/>
      </c>
      <c r="C118" s="496">
        <f>IF(D94="","-",+C117+1)</f>
        <v>2036</v>
      </c>
      <c r="D118" s="350">
        <f>IF(F117+SUM(E$100:E117)=D$93,F117,D$93-SUM(E$100:E117))</f>
        <v>2335938.0756907398</v>
      </c>
      <c r="E118" s="510">
        <f t="shared" si="24"/>
        <v>899646.84210526315</v>
      </c>
      <c r="F118" s="511">
        <f t="shared" si="25"/>
        <v>1436291.2335854766</v>
      </c>
      <c r="G118" s="511">
        <f t="shared" si="26"/>
        <v>1886114.6546381083</v>
      </c>
      <c r="H118" s="645">
        <f t="shared" si="27"/>
        <v>1106429.4382944272</v>
      </c>
      <c r="I118" s="628">
        <f t="shared" si="28"/>
        <v>1106429.4382944272</v>
      </c>
      <c r="J118" s="505">
        <f t="shared" si="16"/>
        <v>0</v>
      </c>
      <c r="K118" s="505"/>
      <c r="L118" s="513"/>
      <c r="M118" s="505">
        <f t="shared" si="29"/>
        <v>0</v>
      </c>
      <c r="N118" s="513"/>
      <c r="O118" s="505">
        <f t="shared" si="20"/>
        <v>0</v>
      </c>
      <c r="P118" s="505">
        <f t="shared" si="21"/>
        <v>0</v>
      </c>
    </row>
    <row r="119" spans="2:16" ht="12.5">
      <c r="B119" s="145" t="str">
        <f t="shared" si="15"/>
        <v/>
      </c>
      <c r="C119" s="496">
        <f>IF(D94="","-",+C118+1)</f>
        <v>2037</v>
      </c>
      <c r="D119" s="350">
        <f>IF(F118+SUM(E$100:E118)=D$93,F118,D$93-SUM(E$100:E118))</f>
        <v>1436291.2335854766</v>
      </c>
      <c r="E119" s="510">
        <f t="shared" si="24"/>
        <v>899646.84210526315</v>
      </c>
      <c r="F119" s="511">
        <f t="shared" si="25"/>
        <v>536644.3914802135</v>
      </c>
      <c r="G119" s="511">
        <f t="shared" si="26"/>
        <v>986467.81253284507</v>
      </c>
      <c r="H119" s="645">
        <f t="shared" si="27"/>
        <v>1007797.4122898345</v>
      </c>
      <c r="I119" s="628">
        <f t="shared" si="28"/>
        <v>1007797.4122898345</v>
      </c>
      <c r="J119" s="505">
        <f t="shared" si="16"/>
        <v>0</v>
      </c>
      <c r="K119" s="505"/>
      <c r="L119" s="513"/>
      <c r="M119" s="505">
        <f t="shared" si="29"/>
        <v>0</v>
      </c>
      <c r="N119" s="513"/>
      <c r="O119" s="505">
        <f t="shared" si="20"/>
        <v>0</v>
      </c>
      <c r="P119" s="505">
        <f t="shared" si="21"/>
        <v>0</v>
      </c>
    </row>
    <row r="120" spans="2:16" ht="12.5">
      <c r="B120" s="145" t="str">
        <f t="shared" si="15"/>
        <v/>
      </c>
      <c r="C120" s="496">
        <f>IF(D94="","-",+C119+1)</f>
        <v>2038</v>
      </c>
      <c r="D120" s="350">
        <f>IF(F119+SUM(E$100:E119)=D$93,F119,D$93-SUM(E$100:E119))</f>
        <v>536644.3914802135</v>
      </c>
      <c r="E120" s="510">
        <f t="shared" si="24"/>
        <v>536644.3914802135</v>
      </c>
      <c r="F120" s="511">
        <f t="shared" si="25"/>
        <v>0</v>
      </c>
      <c r="G120" s="511">
        <f t="shared" si="26"/>
        <v>268322.19574010675</v>
      </c>
      <c r="H120" s="645">
        <f t="shared" si="27"/>
        <v>566061.67007135099</v>
      </c>
      <c r="I120" s="628">
        <f t="shared" si="28"/>
        <v>566061.67007135099</v>
      </c>
      <c r="J120" s="505">
        <f t="shared" si="16"/>
        <v>0</v>
      </c>
      <c r="K120" s="505"/>
      <c r="L120" s="513"/>
      <c r="M120" s="505">
        <f t="shared" si="29"/>
        <v>0</v>
      </c>
      <c r="N120" s="513"/>
      <c r="O120" s="505">
        <f t="shared" si="20"/>
        <v>0</v>
      </c>
      <c r="P120" s="505">
        <f t="shared" si="21"/>
        <v>0</v>
      </c>
    </row>
    <row r="121" spans="2:16" ht="12.5">
      <c r="B121" s="145" t="str">
        <f t="shared" si="15"/>
        <v/>
      </c>
      <c r="C121" s="496">
        <f>IF(D94="","-",+C120+1)</f>
        <v>2039</v>
      </c>
      <c r="D121" s="350">
        <f>IF(F120+SUM(E$100:E120)=D$93,F120,D$93-SUM(E$100:E120))</f>
        <v>0</v>
      </c>
      <c r="E121" s="510">
        <f t="shared" si="24"/>
        <v>0</v>
      </c>
      <c r="F121" s="511">
        <f t="shared" si="25"/>
        <v>0</v>
      </c>
      <c r="G121" s="511">
        <f t="shared" si="26"/>
        <v>0</v>
      </c>
      <c r="H121" s="645">
        <f t="shared" si="27"/>
        <v>0</v>
      </c>
      <c r="I121" s="628">
        <f t="shared" si="28"/>
        <v>0</v>
      </c>
      <c r="J121" s="505">
        <f t="shared" si="16"/>
        <v>0</v>
      </c>
      <c r="K121" s="505"/>
      <c r="L121" s="513"/>
      <c r="M121" s="505">
        <f t="shared" si="29"/>
        <v>0</v>
      </c>
      <c r="N121" s="513"/>
      <c r="O121" s="505">
        <f t="shared" si="20"/>
        <v>0</v>
      </c>
      <c r="P121" s="505">
        <f t="shared" si="21"/>
        <v>0</v>
      </c>
    </row>
    <row r="122" spans="2:16" ht="12.5">
      <c r="B122" s="145" t="str">
        <f t="shared" si="15"/>
        <v/>
      </c>
      <c r="C122" s="496">
        <f>IF(D94="","-",+C121+1)</f>
        <v>2040</v>
      </c>
      <c r="D122" s="350">
        <f>IF(F121+SUM(E$100:E121)=D$93,F121,D$93-SUM(E$100:E121))</f>
        <v>0</v>
      </c>
      <c r="E122" s="510">
        <f t="shared" si="24"/>
        <v>0</v>
      </c>
      <c r="F122" s="511">
        <f t="shared" si="25"/>
        <v>0</v>
      </c>
      <c r="G122" s="511">
        <f t="shared" si="26"/>
        <v>0</v>
      </c>
      <c r="H122" s="645">
        <f t="shared" si="27"/>
        <v>0</v>
      </c>
      <c r="I122" s="628">
        <f t="shared" si="28"/>
        <v>0</v>
      </c>
      <c r="J122" s="505">
        <f t="shared" si="16"/>
        <v>0</v>
      </c>
      <c r="K122" s="505"/>
      <c r="L122" s="513"/>
      <c r="M122" s="505">
        <f t="shared" si="29"/>
        <v>0</v>
      </c>
      <c r="N122" s="513"/>
      <c r="O122" s="505">
        <f t="shared" si="20"/>
        <v>0</v>
      </c>
      <c r="P122" s="505">
        <f t="shared" si="21"/>
        <v>0</v>
      </c>
    </row>
    <row r="123" spans="2:16" ht="12.5">
      <c r="B123" s="145" t="str">
        <f t="shared" si="15"/>
        <v/>
      </c>
      <c r="C123" s="496">
        <f>IF(D94="","-",+C122+1)</f>
        <v>2041</v>
      </c>
      <c r="D123" s="350">
        <f>IF(F122+SUM(E$100:E122)=D$93,F122,D$93-SUM(E$100:E122))</f>
        <v>0</v>
      </c>
      <c r="E123" s="510">
        <f t="shared" si="24"/>
        <v>0</v>
      </c>
      <c r="F123" s="511">
        <f t="shared" si="25"/>
        <v>0</v>
      </c>
      <c r="G123" s="511">
        <f t="shared" si="26"/>
        <v>0</v>
      </c>
      <c r="H123" s="645">
        <f t="shared" si="27"/>
        <v>0</v>
      </c>
      <c r="I123" s="628">
        <f t="shared" si="28"/>
        <v>0</v>
      </c>
      <c r="J123" s="505">
        <f t="shared" si="16"/>
        <v>0</v>
      </c>
      <c r="K123" s="505"/>
      <c r="L123" s="513"/>
      <c r="M123" s="505">
        <f t="shared" si="29"/>
        <v>0</v>
      </c>
      <c r="N123" s="513"/>
      <c r="O123" s="505">
        <f t="shared" si="20"/>
        <v>0</v>
      </c>
      <c r="P123" s="505">
        <f t="shared" si="21"/>
        <v>0</v>
      </c>
    </row>
    <row r="124" spans="2:16" ht="12.5">
      <c r="B124" s="145" t="str">
        <f t="shared" si="15"/>
        <v/>
      </c>
      <c r="C124" s="496">
        <f>IF(D94="","-",+C123+1)</f>
        <v>2042</v>
      </c>
      <c r="D124" s="350">
        <f>IF(F123+SUM(E$100:E123)=D$93,F123,D$93-SUM(E$100:E123))</f>
        <v>0</v>
      </c>
      <c r="E124" s="510">
        <f t="shared" si="24"/>
        <v>0</v>
      </c>
      <c r="F124" s="511">
        <f t="shared" si="25"/>
        <v>0</v>
      </c>
      <c r="G124" s="511">
        <f t="shared" si="26"/>
        <v>0</v>
      </c>
      <c r="H124" s="645">
        <f t="shared" si="27"/>
        <v>0</v>
      </c>
      <c r="I124" s="628">
        <f t="shared" si="28"/>
        <v>0</v>
      </c>
      <c r="J124" s="505">
        <f t="shared" si="16"/>
        <v>0</v>
      </c>
      <c r="K124" s="505"/>
      <c r="L124" s="513"/>
      <c r="M124" s="505">
        <f t="shared" si="29"/>
        <v>0</v>
      </c>
      <c r="N124" s="513"/>
      <c r="O124" s="505">
        <f t="shared" si="20"/>
        <v>0</v>
      </c>
      <c r="P124" s="505">
        <f t="shared" si="21"/>
        <v>0</v>
      </c>
    </row>
    <row r="125" spans="2:16" ht="12.5">
      <c r="B125" s="145" t="str">
        <f t="shared" si="15"/>
        <v/>
      </c>
      <c r="C125" s="496">
        <f>IF(D94="","-",+C124+1)</f>
        <v>2043</v>
      </c>
      <c r="D125" s="350">
        <f>IF(F124+SUM(E$100:E124)=D$93,F124,D$93-SUM(E$100:E124))</f>
        <v>0</v>
      </c>
      <c r="E125" s="510">
        <f t="shared" si="24"/>
        <v>0</v>
      </c>
      <c r="F125" s="511">
        <f t="shared" si="25"/>
        <v>0</v>
      </c>
      <c r="G125" s="511">
        <f t="shared" si="26"/>
        <v>0</v>
      </c>
      <c r="H125" s="645">
        <f t="shared" si="27"/>
        <v>0</v>
      </c>
      <c r="I125" s="628">
        <f t="shared" si="28"/>
        <v>0</v>
      </c>
      <c r="J125" s="505">
        <f t="shared" si="16"/>
        <v>0</v>
      </c>
      <c r="K125" s="505"/>
      <c r="L125" s="513"/>
      <c r="M125" s="505">
        <f t="shared" si="29"/>
        <v>0</v>
      </c>
      <c r="N125" s="513"/>
      <c r="O125" s="505">
        <f t="shared" si="20"/>
        <v>0</v>
      </c>
      <c r="P125" s="505">
        <f t="shared" si="21"/>
        <v>0</v>
      </c>
    </row>
    <row r="126" spans="2:16" ht="12.5">
      <c r="B126" s="145" t="str">
        <f t="shared" si="15"/>
        <v/>
      </c>
      <c r="C126" s="496">
        <f>IF(D94="","-",+C125+1)</f>
        <v>2044</v>
      </c>
      <c r="D126" s="350">
        <f>IF(F125+SUM(E$100:E125)=D$93,F125,D$93-SUM(E$100:E125))</f>
        <v>0</v>
      </c>
      <c r="E126" s="510">
        <f t="shared" si="24"/>
        <v>0</v>
      </c>
      <c r="F126" s="511">
        <f t="shared" si="25"/>
        <v>0</v>
      </c>
      <c r="G126" s="511">
        <f t="shared" si="26"/>
        <v>0</v>
      </c>
      <c r="H126" s="645">
        <f t="shared" si="27"/>
        <v>0</v>
      </c>
      <c r="I126" s="628">
        <f t="shared" si="28"/>
        <v>0</v>
      </c>
      <c r="J126" s="505">
        <f t="shared" si="16"/>
        <v>0</v>
      </c>
      <c r="K126" s="505"/>
      <c r="L126" s="513"/>
      <c r="M126" s="505">
        <f t="shared" si="29"/>
        <v>0</v>
      </c>
      <c r="N126" s="513"/>
      <c r="O126" s="505">
        <f t="shared" si="20"/>
        <v>0</v>
      </c>
      <c r="P126" s="505">
        <f t="shared" si="21"/>
        <v>0</v>
      </c>
    </row>
    <row r="127" spans="2:16" ht="12.5">
      <c r="B127" s="145" t="str">
        <f t="shared" si="15"/>
        <v/>
      </c>
      <c r="C127" s="496">
        <f>IF(D94="","-",+C126+1)</f>
        <v>2045</v>
      </c>
      <c r="D127" s="350">
        <f>IF(F126+SUM(E$100:E126)=D$93,F126,D$93-SUM(E$100:E126))</f>
        <v>0</v>
      </c>
      <c r="E127" s="510">
        <f t="shared" si="24"/>
        <v>0</v>
      </c>
      <c r="F127" s="511">
        <f t="shared" si="25"/>
        <v>0</v>
      </c>
      <c r="G127" s="511">
        <f t="shared" si="26"/>
        <v>0</v>
      </c>
      <c r="H127" s="645">
        <f t="shared" si="27"/>
        <v>0</v>
      </c>
      <c r="I127" s="628">
        <f t="shared" si="28"/>
        <v>0</v>
      </c>
      <c r="J127" s="505">
        <f t="shared" si="16"/>
        <v>0</v>
      </c>
      <c r="K127" s="505"/>
      <c r="L127" s="513"/>
      <c r="M127" s="505">
        <f t="shared" si="29"/>
        <v>0</v>
      </c>
      <c r="N127" s="513"/>
      <c r="O127" s="505">
        <f t="shared" si="20"/>
        <v>0</v>
      </c>
      <c r="P127" s="505">
        <f t="shared" si="21"/>
        <v>0</v>
      </c>
    </row>
    <row r="128" spans="2:16" ht="12.5">
      <c r="B128" s="145" t="str">
        <f t="shared" si="15"/>
        <v/>
      </c>
      <c r="C128" s="496">
        <f>IF(D94="","-",+C127+1)</f>
        <v>2046</v>
      </c>
      <c r="D128" s="350">
        <f>IF(F127+SUM(E$100:E127)=D$93,F127,D$93-SUM(E$100:E127))</f>
        <v>0</v>
      </c>
      <c r="E128" s="510">
        <f t="shared" si="24"/>
        <v>0</v>
      </c>
      <c r="F128" s="511">
        <f t="shared" si="25"/>
        <v>0</v>
      </c>
      <c r="G128" s="511">
        <f t="shared" si="26"/>
        <v>0</v>
      </c>
      <c r="H128" s="645">
        <f t="shared" si="27"/>
        <v>0</v>
      </c>
      <c r="I128" s="628">
        <f t="shared" si="28"/>
        <v>0</v>
      </c>
      <c r="J128" s="505">
        <f t="shared" si="16"/>
        <v>0</v>
      </c>
      <c r="K128" s="505"/>
      <c r="L128" s="513"/>
      <c r="M128" s="505">
        <f t="shared" si="29"/>
        <v>0</v>
      </c>
      <c r="N128" s="513"/>
      <c r="O128" s="505">
        <f t="shared" si="20"/>
        <v>0</v>
      </c>
      <c r="P128" s="505">
        <f t="shared" si="21"/>
        <v>0</v>
      </c>
    </row>
    <row r="129" spans="2:16" ht="12.5">
      <c r="B129" s="145" t="str">
        <f t="shared" si="15"/>
        <v/>
      </c>
      <c r="C129" s="496">
        <f>IF(D94="","-",+C128+1)</f>
        <v>2047</v>
      </c>
      <c r="D129" s="350">
        <f>IF(F128+SUM(E$100:E128)=D$93,F128,D$93-SUM(E$100:E128))</f>
        <v>0</v>
      </c>
      <c r="E129" s="510">
        <f t="shared" si="24"/>
        <v>0</v>
      </c>
      <c r="F129" s="511">
        <f t="shared" si="25"/>
        <v>0</v>
      </c>
      <c r="G129" s="511">
        <f t="shared" si="26"/>
        <v>0</v>
      </c>
      <c r="H129" s="645">
        <f t="shared" si="27"/>
        <v>0</v>
      </c>
      <c r="I129" s="628">
        <f t="shared" si="28"/>
        <v>0</v>
      </c>
      <c r="J129" s="505">
        <f t="shared" si="16"/>
        <v>0</v>
      </c>
      <c r="K129" s="505"/>
      <c r="L129" s="513"/>
      <c r="M129" s="505">
        <f t="shared" si="29"/>
        <v>0</v>
      </c>
      <c r="N129" s="513"/>
      <c r="O129" s="505">
        <f t="shared" si="20"/>
        <v>0</v>
      </c>
      <c r="P129" s="505">
        <f t="shared" si="21"/>
        <v>0</v>
      </c>
    </row>
    <row r="130" spans="2:16" ht="12.5">
      <c r="B130" s="145" t="str">
        <f t="shared" si="15"/>
        <v/>
      </c>
      <c r="C130" s="496">
        <f>IF(D94="","-",+C129+1)</f>
        <v>2048</v>
      </c>
      <c r="D130" s="350">
        <f>IF(F129+SUM(E$100:E129)=D$93,F129,D$93-SUM(E$100:E129))</f>
        <v>0</v>
      </c>
      <c r="E130" s="510">
        <f t="shared" si="24"/>
        <v>0</v>
      </c>
      <c r="F130" s="511">
        <f t="shared" si="25"/>
        <v>0</v>
      </c>
      <c r="G130" s="511">
        <f t="shared" si="26"/>
        <v>0</v>
      </c>
      <c r="H130" s="645">
        <f t="shared" si="27"/>
        <v>0</v>
      </c>
      <c r="I130" s="628">
        <f t="shared" si="28"/>
        <v>0</v>
      </c>
      <c r="J130" s="505">
        <f t="shared" si="16"/>
        <v>0</v>
      </c>
      <c r="K130" s="505"/>
      <c r="L130" s="513"/>
      <c r="M130" s="505">
        <f t="shared" si="29"/>
        <v>0</v>
      </c>
      <c r="N130" s="513"/>
      <c r="O130" s="505">
        <f t="shared" si="20"/>
        <v>0</v>
      </c>
      <c r="P130" s="505">
        <f t="shared" si="21"/>
        <v>0</v>
      </c>
    </row>
    <row r="131" spans="2:16" ht="12.5">
      <c r="B131" s="145" t="str">
        <f t="shared" si="15"/>
        <v/>
      </c>
      <c r="C131" s="496">
        <f>IF(D94="","-",+C130+1)</f>
        <v>2049</v>
      </c>
      <c r="D131" s="350">
        <f>IF(F130+SUM(E$100:E130)=D$93,F130,D$93-SUM(E$100:E130))</f>
        <v>0</v>
      </c>
      <c r="E131" s="510">
        <f t="shared" si="24"/>
        <v>0</v>
      </c>
      <c r="F131" s="511">
        <f t="shared" si="25"/>
        <v>0</v>
      </c>
      <c r="G131" s="511">
        <f t="shared" si="26"/>
        <v>0</v>
      </c>
      <c r="H131" s="645">
        <f t="shared" si="27"/>
        <v>0</v>
      </c>
      <c r="I131" s="628">
        <f t="shared" si="28"/>
        <v>0</v>
      </c>
      <c r="J131" s="505">
        <f t="shared" si="16"/>
        <v>0</v>
      </c>
      <c r="K131" s="505"/>
      <c r="L131" s="513"/>
      <c r="M131" s="505">
        <f t="shared" si="29"/>
        <v>0</v>
      </c>
      <c r="N131" s="513"/>
      <c r="O131" s="505">
        <f t="shared" si="20"/>
        <v>0</v>
      </c>
      <c r="P131" s="505">
        <f t="shared" si="21"/>
        <v>0</v>
      </c>
    </row>
    <row r="132" spans="2:16" ht="12.5">
      <c r="B132" s="145" t="str">
        <f t="shared" si="15"/>
        <v/>
      </c>
      <c r="C132" s="496">
        <f>IF(D94="","-",+C131+1)</f>
        <v>2050</v>
      </c>
      <c r="D132" s="350">
        <f>IF(F131+SUM(E$100:E131)=D$93,F131,D$93-SUM(E$100:E131))</f>
        <v>0</v>
      </c>
      <c r="E132" s="510">
        <f t="shared" si="24"/>
        <v>0</v>
      </c>
      <c r="F132" s="511">
        <f t="shared" si="25"/>
        <v>0</v>
      </c>
      <c r="G132" s="511">
        <f t="shared" si="26"/>
        <v>0</v>
      </c>
      <c r="H132" s="645">
        <f t="shared" si="27"/>
        <v>0</v>
      </c>
      <c r="I132" s="628">
        <f t="shared" si="28"/>
        <v>0</v>
      </c>
      <c r="J132" s="505">
        <f t="shared" ref="J132:J155" si="30">+I542-H542</f>
        <v>0</v>
      </c>
      <c r="K132" s="505"/>
      <c r="L132" s="513"/>
      <c r="M132" s="505">
        <f t="shared" ref="M132:M155" si="31">IF(L542&lt;&gt;0,+H542-L542,0)</f>
        <v>0</v>
      </c>
      <c r="N132" s="513"/>
      <c r="O132" s="505">
        <f t="shared" ref="O132:O155" si="32">IF(N542&lt;&gt;0,+I542-N542,0)</f>
        <v>0</v>
      </c>
      <c r="P132" s="505">
        <f t="shared" ref="P132:P155" si="33">+O542-M542</f>
        <v>0</v>
      </c>
    </row>
    <row r="133" spans="2:16" ht="12.5">
      <c r="B133" s="145" t="str">
        <f t="shared" si="15"/>
        <v/>
      </c>
      <c r="C133" s="496">
        <f>IF(D94="","-",+C132+1)</f>
        <v>2051</v>
      </c>
      <c r="D133" s="350">
        <f>IF(F132+SUM(E$100:E132)=D$93,F132,D$93-SUM(E$100:E132))</f>
        <v>0</v>
      </c>
      <c r="E133" s="510">
        <f t="shared" si="24"/>
        <v>0</v>
      </c>
      <c r="F133" s="511">
        <f t="shared" si="25"/>
        <v>0</v>
      </c>
      <c r="G133" s="511">
        <f t="shared" si="26"/>
        <v>0</v>
      </c>
      <c r="H133" s="645">
        <f t="shared" si="27"/>
        <v>0</v>
      </c>
      <c r="I133" s="628">
        <f t="shared" si="28"/>
        <v>0</v>
      </c>
      <c r="J133" s="505">
        <f t="shared" si="30"/>
        <v>0</v>
      </c>
      <c r="K133" s="505"/>
      <c r="L133" s="513"/>
      <c r="M133" s="505">
        <f t="shared" si="31"/>
        <v>0</v>
      </c>
      <c r="N133" s="513"/>
      <c r="O133" s="505">
        <f t="shared" si="32"/>
        <v>0</v>
      </c>
      <c r="P133" s="505">
        <f t="shared" si="33"/>
        <v>0</v>
      </c>
    </row>
    <row r="134" spans="2:16" ht="12.5">
      <c r="B134" s="145" t="str">
        <f t="shared" si="15"/>
        <v/>
      </c>
      <c r="C134" s="496">
        <f>IF(D94="","-",+C133+1)</f>
        <v>2052</v>
      </c>
      <c r="D134" s="350">
        <f>IF(F133+SUM(E$100:E133)=D$93,F133,D$93-SUM(E$100:E133))</f>
        <v>0</v>
      </c>
      <c r="E134" s="510">
        <f t="shared" si="24"/>
        <v>0</v>
      </c>
      <c r="F134" s="511">
        <f t="shared" si="25"/>
        <v>0</v>
      </c>
      <c r="G134" s="511">
        <f t="shared" si="26"/>
        <v>0</v>
      </c>
      <c r="H134" s="645">
        <f t="shared" si="27"/>
        <v>0</v>
      </c>
      <c r="I134" s="628">
        <f t="shared" si="28"/>
        <v>0</v>
      </c>
      <c r="J134" s="505">
        <f t="shared" si="30"/>
        <v>0</v>
      </c>
      <c r="K134" s="505"/>
      <c r="L134" s="513"/>
      <c r="M134" s="505">
        <f t="shared" si="31"/>
        <v>0</v>
      </c>
      <c r="N134" s="513"/>
      <c r="O134" s="505">
        <f t="shared" si="32"/>
        <v>0</v>
      </c>
      <c r="P134" s="505">
        <f t="shared" si="33"/>
        <v>0</v>
      </c>
    </row>
    <row r="135" spans="2:16" ht="12.5">
      <c r="B135" s="145" t="str">
        <f t="shared" si="15"/>
        <v/>
      </c>
      <c r="C135" s="496">
        <f>IF(D94="","-",+C134+1)</f>
        <v>2053</v>
      </c>
      <c r="D135" s="350">
        <f>IF(F134+SUM(E$100:E134)=D$93,F134,D$93-SUM(E$100:E134))</f>
        <v>0</v>
      </c>
      <c r="E135" s="510">
        <f t="shared" si="24"/>
        <v>0</v>
      </c>
      <c r="F135" s="511">
        <f t="shared" si="25"/>
        <v>0</v>
      </c>
      <c r="G135" s="511">
        <f t="shared" si="26"/>
        <v>0</v>
      </c>
      <c r="H135" s="645">
        <f t="shared" si="27"/>
        <v>0</v>
      </c>
      <c r="I135" s="628">
        <f t="shared" si="28"/>
        <v>0</v>
      </c>
      <c r="J135" s="505">
        <f t="shared" si="30"/>
        <v>0</v>
      </c>
      <c r="K135" s="505"/>
      <c r="L135" s="513"/>
      <c r="M135" s="505">
        <f t="shared" si="31"/>
        <v>0</v>
      </c>
      <c r="N135" s="513"/>
      <c r="O135" s="505">
        <f t="shared" si="32"/>
        <v>0</v>
      </c>
      <c r="P135" s="505">
        <f t="shared" si="33"/>
        <v>0</v>
      </c>
    </row>
    <row r="136" spans="2:16" ht="12.5">
      <c r="B136" s="145" t="str">
        <f t="shared" si="15"/>
        <v/>
      </c>
      <c r="C136" s="496">
        <f>IF(D94="","-",+C135+1)</f>
        <v>2054</v>
      </c>
      <c r="D136" s="350">
        <f>IF(F135+SUM(E$100:E135)=D$93,F135,D$93-SUM(E$100:E135))</f>
        <v>0</v>
      </c>
      <c r="E136" s="510">
        <f t="shared" si="24"/>
        <v>0</v>
      </c>
      <c r="F136" s="511">
        <f t="shared" si="25"/>
        <v>0</v>
      </c>
      <c r="G136" s="511">
        <f t="shared" si="26"/>
        <v>0</v>
      </c>
      <c r="H136" s="645">
        <f t="shared" si="27"/>
        <v>0</v>
      </c>
      <c r="I136" s="628">
        <f t="shared" si="28"/>
        <v>0</v>
      </c>
      <c r="J136" s="505">
        <f t="shared" si="30"/>
        <v>0</v>
      </c>
      <c r="K136" s="505"/>
      <c r="L136" s="513"/>
      <c r="M136" s="505">
        <f t="shared" si="31"/>
        <v>0</v>
      </c>
      <c r="N136" s="513"/>
      <c r="O136" s="505">
        <f t="shared" si="32"/>
        <v>0</v>
      </c>
      <c r="P136" s="505">
        <f t="shared" si="33"/>
        <v>0</v>
      </c>
    </row>
    <row r="137" spans="2:16" ht="12.5">
      <c r="B137" s="145" t="str">
        <f t="shared" si="15"/>
        <v/>
      </c>
      <c r="C137" s="496">
        <f>IF(D94="","-",+C136+1)</f>
        <v>2055</v>
      </c>
      <c r="D137" s="350">
        <f>IF(F136+SUM(E$100:E136)=D$93,F136,D$93-SUM(E$100:E136))</f>
        <v>0</v>
      </c>
      <c r="E137" s="510">
        <f t="shared" si="24"/>
        <v>0</v>
      </c>
      <c r="F137" s="511">
        <f t="shared" si="25"/>
        <v>0</v>
      </c>
      <c r="G137" s="511">
        <f t="shared" si="26"/>
        <v>0</v>
      </c>
      <c r="H137" s="645">
        <f t="shared" si="27"/>
        <v>0</v>
      </c>
      <c r="I137" s="628">
        <f t="shared" si="28"/>
        <v>0</v>
      </c>
      <c r="J137" s="505">
        <f t="shared" si="30"/>
        <v>0</v>
      </c>
      <c r="K137" s="505"/>
      <c r="L137" s="513"/>
      <c r="M137" s="505">
        <f t="shared" si="31"/>
        <v>0</v>
      </c>
      <c r="N137" s="513"/>
      <c r="O137" s="505">
        <f t="shared" si="32"/>
        <v>0</v>
      </c>
      <c r="P137" s="505">
        <f t="shared" si="33"/>
        <v>0</v>
      </c>
    </row>
    <row r="138" spans="2:16" ht="12.5">
      <c r="B138" s="145" t="str">
        <f t="shared" si="15"/>
        <v/>
      </c>
      <c r="C138" s="496">
        <f>IF(D94="","-",+C137+1)</f>
        <v>2056</v>
      </c>
      <c r="D138" s="350">
        <f>IF(F137+SUM(E$100:E137)=D$93,F137,D$93-SUM(E$100:E137))</f>
        <v>0</v>
      </c>
      <c r="E138" s="510">
        <f t="shared" si="24"/>
        <v>0</v>
      </c>
      <c r="F138" s="511">
        <f t="shared" si="25"/>
        <v>0</v>
      </c>
      <c r="G138" s="511">
        <f t="shared" si="26"/>
        <v>0</v>
      </c>
      <c r="H138" s="645">
        <f t="shared" si="27"/>
        <v>0</v>
      </c>
      <c r="I138" s="628">
        <f t="shared" si="28"/>
        <v>0</v>
      </c>
      <c r="J138" s="505">
        <f t="shared" si="30"/>
        <v>0</v>
      </c>
      <c r="K138" s="505"/>
      <c r="L138" s="513"/>
      <c r="M138" s="505">
        <f t="shared" si="31"/>
        <v>0</v>
      </c>
      <c r="N138" s="513"/>
      <c r="O138" s="505">
        <f t="shared" si="32"/>
        <v>0</v>
      </c>
      <c r="P138" s="505">
        <f t="shared" si="33"/>
        <v>0</v>
      </c>
    </row>
    <row r="139" spans="2:16" ht="12.5">
      <c r="B139" s="145" t="str">
        <f t="shared" si="15"/>
        <v/>
      </c>
      <c r="C139" s="496">
        <f>IF(D94="","-",+C138+1)</f>
        <v>2057</v>
      </c>
      <c r="D139" s="350">
        <f>IF(F138+SUM(E$100:E138)=D$93,F138,D$93-SUM(E$100:E138))</f>
        <v>0</v>
      </c>
      <c r="E139" s="510">
        <f t="shared" si="24"/>
        <v>0</v>
      </c>
      <c r="F139" s="511">
        <f t="shared" si="25"/>
        <v>0</v>
      </c>
      <c r="G139" s="511">
        <f t="shared" si="26"/>
        <v>0</v>
      </c>
      <c r="H139" s="645">
        <f t="shared" si="27"/>
        <v>0</v>
      </c>
      <c r="I139" s="628">
        <f t="shared" si="28"/>
        <v>0</v>
      </c>
      <c r="J139" s="505">
        <f t="shared" si="30"/>
        <v>0</v>
      </c>
      <c r="K139" s="505"/>
      <c r="L139" s="513"/>
      <c r="M139" s="505">
        <f t="shared" si="31"/>
        <v>0</v>
      </c>
      <c r="N139" s="513"/>
      <c r="O139" s="505">
        <f t="shared" si="32"/>
        <v>0</v>
      </c>
      <c r="P139" s="505">
        <f t="shared" si="33"/>
        <v>0</v>
      </c>
    </row>
    <row r="140" spans="2:16" ht="12.5">
      <c r="B140" s="145" t="str">
        <f t="shared" si="15"/>
        <v/>
      </c>
      <c r="C140" s="496">
        <f>IF(D94="","-",+C139+1)</f>
        <v>2058</v>
      </c>
      <c r="D140" s="350">
        <f>IF(F139+SUM(E$100:E139)=D$93,F139,D$93-SUM(E$100:E139))</f>
        <v>0</v>
      </c>
      <c r="E140" s="510">
        <f t="shared" si="24"/>
        <v>0</v>
      </c>
      <c r="F140" s="511">
        <f t="shared" si="25"/>
        <v>0</v>
      </c>
      <c r="G140" s="511">
        <f t="shared" si="26"/>
        <v>0</v>
      </c>
      <c r="H140" s="645">
        <f t="shared" si="27"/>
        <v>0</v>
      </c>
      <c r="I140" s="628">
        <f t="shared" si="28"/>
        <v>0</v>
      </c>
      <c r="J140" s="505">
        <f t="shared" si="30"/>
        <v>0</v>
      </c>
      <c r="K140" s="505"/>
      <c r="L140" s="513"/>
      <c r="M140" s="505">
        <f t="shared" si="31"/>
        <v>0</v>
      </c>
      <c r="N140" s="513"/>
      <c r="O140" s="505">
        <f t="shared" si="32"/>
        <v>0</v>
      </c>
      <c r="P140" s="505">
        <f t="shared" si="33"/>
        <v>0</v>
      </c>
    </row>
    <row r="141" spans="2:16" ht="12.5">
      <c r="B141" s="145" t="str">
        <f t="shared" si="15"/>
        <v/>
      </c>
      <c r="C141" s="496">
        <f>IF(D94="","-",+C140+1)</f>
        <v>2059</v>
      </c>
      <c r="D141" s="350">
        <f>IF(F140+SUM(E$100:E140)=D$93,F140,D$93-SUM(E$100:E140))</f>
        <v>0</v>
      </c>
      <c r="E141" s="510">
        <f t="shared" si="24"/>
        <v>0</v>
      </c>
      <c r="F141" s="511">
        <f t="shared" si="25"/>
        <v>0</v>
      </c>
      <c r="G141" s="511">
        <f t="shared" si="26"/>
        <v>0</v>
      </c>
      <c r="H141" s="645">
        <f t="shared" si="27"/>
        <v>0</v>
      </c>
      <c r="I141" s="628">
        <f t="shared" si="28"/>
        <v>0</v>
      </c>
      <c r="J141" s="505">
        <f t="shared" si="30"/>
        <v>0</v>
      </c>
      <c r="K141" s="505"/>
      <c r="L141" s="513"/>
      <c r="M141" s="505">
        <f t="shared" si="31"/>
        <v>0</v>
      </c>
      <c r="N141" s="513"/>
      <c r="O141" s="505">
        <f t="shared" si="32"/>
        <v>0</v>
      </c>
      <c r="P141" s="505">
        <f t="shared" si="33"/>
        <v>0</v>
      </c>
    </row>
    <row r="142" spans="2:16" ht="12.5">
      <c r="B142" s="145" t="str">
        <f t="shared" si="15"/>
        <v/>
      </c>
      <c r="C142" s="496">
        <f>IF(D94="","-",+C141+1)</f>
        <v>2060</v>
      </c>
      <c r="D142" s="350">
        <f>IF(F141+SUM(E$100:E141)=D$93,F141,D$93-SUM(E$100:E141))</f>
        <v>0</v>
      </c>
      <c r="E142" s="510">
        <f t="shared" si="24"/>
        <v>0</v>
      </c>
      <c r="F142" s="511">
        <f t="shared" si="25"/>
        <v>0</v>
      </c>
      <c r="G142" s="511">
        <f t="shared" si="26"/>
        <v>0</v>
      </c>
      <c r="H142" s="645">
        <f t="shared" si="27"/>
        <v>0</v>
      </c>
      <c r="I142" s="628">
        <f t="shared" si="28"/>
        <v>0</v>
      </c>
      <c r="J142" s="505">
        <f t="shared" si="30"/>
        <v>0</v>
      </c>
      <c r="K142" s="505"/>
      <c r="L142" s="513"/>
      <c r="M142" s="505">
        <f t="shared" si="31"/>
        <v>0</v>
      </c>
      <c r="N142" s="513"/>
      <c r="O142" s="505">
        <f t="shared" si="32"/>
        <v>0</v>
      </c>
      <c r="P142" s="505">
        <f t="shared" si="33"/>
        <v>0</v>
      </c>
    </row>
    <row r="143" spans="2:16" ht="12.5">
      <c r="B143" s="145" t="str">
        <f t="shared" si="15"/>
        <v/>
      </c>
      <c r="C143" s="496">
        <f>IF(D94="","-",+C142+1)</f>
        <v>2061</v>
      </c>
      <c r="D143" s="350">
        <f>IF(F142+SUM(E$100:E142)=D$93,F142,D$93-SUM(E$100:E142))</f>
        <v>0</v>
      </c>
      <c r="E143" s="510">
        <f t="shared" si="24"/>
        <v>0</v>
      </c>
      <c r="F143" s="511">
        <f t="shared" si="25"/>
        <v>0</v>
      </c>
      <c r="G143" s="511">
        <f t="shared" si="26"/>
        <v>0</v>
      </c>
      <c r="H143" s="645">
        <f t="shared" si="27"/>
        <v>0</v>
      </c>
      <c r="I143" s="628">
        <f t="shared" si="28"/>
        <v>0</v>
      </c>
      <c r="J143" s="505">
        <f t="shared" si="30"/>
        <v>0</v>
      </c>
      <c r="K143" s="505"/>
      <c r="L143" s="513"/>
      <c r="M143" s="505">
        <f t="shared" si="31"/>
        <v>0</v>
      </c>
      <c r="N143" s="513"/>
      <c r="O143" s="505">
        <f t="shared" si="32"/>
        <v>0</v>
      </c>
      <c r="P143" s="505">
        <f t="shared" si="33"/>
        <v>0</v>
      </c>
    </row>
    <row r="144" spans="2:16" ht="12.5">
      <c r="B144" s="145" t="str">
        <f t="shared" si="15"/>
        <v/>
      </c>
      <c r="C144" s="496">
        <f>IF(D94="","-",+C143+1)</f>
        <v>2062</v>
      </c>
      <c r="D144" s="350">
        <f>IF(F143+SUM(E$100:E143)=D$93,F143,D$93-SUM(E$100:E143))</f>
        <v>0</v>
      </c>
      <c r="E144" s="510">
        <f t="shared" si="24"/>
        <v>0</v>
      </c>
      <c r="F144" s="511">
        <f t="shared" si="25"/>
        <v>0</v>
      </c>
      <c r="G144" s="511">
        <f t="shared" si="26"/>
        <v>0</v>
      </c>
      <c r="H144" s="645">
        <f t="shared" si="27"/>
        <v>0</v>
      </c>
      <c r="I144" s="628">
        <f t="shared" si="28"/>
        <v>0</v>
      </c>
      <c r="J144" s="505">
        <f t="shared" si="30"/>
        <v>0</v>
      </c>
      <c r="K144" s="505"/>
      <c r="L144" s="513"/>
      <c r="M144" s="505">
        <f t="shared" si="31"/>
        <v>0</v>
      </c>
      <c r="N144" s="513"/>
      <c r="O144" s="505">
        <f t="shared" si="32"/>
        <v>0</v>
      </c>
      <c r="P144" s="505">
        <f t="shared" si="33"/>
        <v>0</v>
      </c>
    </row>
    <row r="145" spans="2:16" ht="12.5">
      <c r="B145" s="145" t="str">
        <f t="shared" si="15"/>
        <v/>
      </c>
      <c r="C145" s="496">
        <f>IF(D94="","-",+C144+1)</f>
        <v>2063</v>
      </c>
      <c r="D145" s="350">
        <f>IF(F144+SUM(E$100:E144)=D$93,F144,D$93-SUM(E$100:E144))</f>
        <v>0</v>
      </c>
      <c r="E145" s="510">
        <f t="shared" si="24"/>
        <v>0</v>
      </c>
      <c r="F145" s="511">
        <f t="shared" si="25"/>
        <v>0</v>
      </c>
      <c r="G145" s="511">
        <f t="shared" si="26"/>
        <v>0</v>
      </c>
      <c r="H145" s="645">
        <f t="shared" si="27"/>
        <v>0</v>
      </c>
      <c r="I145" s="628">
        <f t="shared" si="28"/>
        <v>0</v>
      </c>
      <c r="J145" s="505">
        <f t="shared" si="30"/>
        <v>0</v>
      </c>
      <c r="K145" s="505"/>
      <c r="L145" s="513"/>
      <c r="M145" s="505">
        <f t="shared" si="31"/>
        <v>0</v>
      </c>
      <c r="N145" s="513"/>
      <c r="O145" s="505">
        <f t="shared" si="32"/>
        <v>0</v>
      </c>
      <c r="P145" s="505">
        <f t="shared" si="33"/>
        <v>0</v>
      </c>
    </row>
    <row r="146" spans="2:16" ht="12.5">
      <c r="B146" s="145" t="str">
        <f t="shared" si="15"/>
        <v/>
      </c>
      <c r="C146" s="496">
        <f>IF(D94="","-",+C145+1)</f>
        <v>2064</v>
      </c>
      <c r="D146" s="350">
        <f>IF(F145+SUM(E$100:E145)=D$93,F145,D$93-SUM(E$100:E145))</f>
        <v>0</v>
      </c>
      <c r="E146" s="510">
        <f t="shared" si="24"/>
        <v>0</v>
      </c>
      <c r="F146" s="511">
        <f t="shared" si="25"/>
        <v>0</v>
      </c>
      <c r="G146" s="511">
        <f t="shared" si="26"/>
        <v>0</v>
      </c>
      <c r="H146" s="645">
        <f t="shared" si="27"/>
        <v>0</v>
      </c>
      <c r="I146" s="628">
        <f t="shared" si="28"/>
        <v>0</v>
      </c>
      <c r="J146" s="505">
        <f t="shared" si="30"/>
        <v>0</v>
      </c>
      <c r="K146" s="505"/>
      <c r="L146" s="513"/>
      <c r="M146" s="505">
        <f t="shared" si="31"/>
        <v>0</v>
      </c>
      <c r="N146" s="513"/>
      <c r="O146" s="505">
        <f t="shared" si="32"/>
        <v>0</v>
      </c>
      <c r="P146" s="505">
        <f t="shared" si="33"/>
        <v>0</v>
      </c>
    </row>
    <row r="147" spans="2:16" ht="12.5">
      <c r="B147" s="145" t="str">
        <f t="shared" si="15"/>
        <v/>
      </c>
      <c r="C147" s="496">
        <f>IF(D94="","-",+C146+1)</f>
        <v>2065</v>
      </c>
      <c r="D147" s="350">
        <f>IF(F146+SUM(E$100:E146)=D$93,F146,D$93-SUM(E$100:E146))</f>
        <v>0</v>
      </c>
      <c r="E147" s="510">
        <f t="shared" si="24"/>
        <v>0</v>
      </c>
      <c r="F147" s="511">
        <f t="shared" si="25"/>
        <v>0</v>
      </c>
      <c r="G147" s="511">
        <f t="shared" si="26"/>
        <v>0</v>
      </c>
      <c r="H147" s="645">
        <f t="shared" si="27"/>
        <v>0</v>
      </c>
      <c r="I147" s="628">
        <f t="shared" si="28"/>
        <v>0</v>
      </c>
      <c r="J147" s="505">
        <f t="shared" si="30"/>
        <v>0</v>
      </c>
      <c r="K147" s="505"/>
      <c r="L147" s="513"/>
      <c r="M147" s="505">
        <f t="shared" si="31"/>
        <v>0</v>
      </c>
      <c r="N147" s="513"/>
      <c r="O147" s="505">
        <f t="shared" si="32"/>
        <v>0</v>
      </c>
      <c r="P147" s="505">
        <f t="shared" si="33"/>
        <v>0</v>
      </c>
    </row>
    <row r="148" spans="2:16" ht="12.5">
      <c r="B148" s="145" t="str">
        <f t="shared" si="15"/>
        <v/>
      </c>
      <c r="C148" s="496">
        <f>IF(D94="","-",+C147+1)</f>
        <v>2066</v>
      </c>
      <c r="D148" s="350">
        <f>IF(F147+SUM(E$100:E147)=D$93,F147,D$93-SUM(E$100:E147))</f>
        <v>0</v>
      </c>
      <c r="E148" s="510">
        <f t="shared" si="24"/>
        <v>0</v>
      </c>
      <c r="F148" s="511">
        <f t="shared" si="25"/>
        <v>0</v>
      </c>
      <c r="G148" s="511">
        <f t="shared" si="26"/>
        <v>0</v>
      </c>
      <c r="H148" s="645">
        <f t="shared" si="27"/>
        <v>0</v>
      </c>
      <c r="I148" s="628">
        <f t="shared" si="28"/>
        <v>0</v>
      </c>
      <c r="J148" s="505">
        <f t="shared" si="30"/>
        <v>0</v>
      </c>
      <c r="K148" s="505"/>
      <c r="L148" s="513"/>
      <c r="M148" s="505">
        <f t="shared" si="31"/>
        <v>0</v>
      </c>
      <c r="N148" s="513"/>
      <c r="O148" s="505">
        <f t="shared" si="32"/>
        <v>0</v>
      </c>
      <c r="P148" s="505">
        <f t="shared" si="33"/>
        <v>0</v>
      </c>
    </row>
    <row r="149" spans="2:16" ht="12.5">
      <c r="B149" s="145" t="str">
        <f t="shared" si="15"/>
        <v/>
      </c>
      <c r="C149" s="496">
        <f>IF(D94="","-",+C148+1)</f>
        <v>2067</v>
      </c>
      <c r="D149" s="350">
        <f>IF(F148+SUM(E$100:E148)=D$93,F148,D$93-SUM(E$100:E148))</f>
        <v>0</v>
      </c>
      <c r="E149" s="510">
        <f t="shared" si="24"/>
        <v>0</v>
      </c>
      <c r="F149" s="511">
        <f t="shared" si="25"/>
        <v>0</v>
      </c>
      <c r="G149" s="511">
        <f t="shared" si="26"/>
        <v>0</v>
      </c>
      <c r="H149" s="645">
        <f t="shared" si="27"/>
        <v>0</v>
      </c>
      <c r="I149" s="628">
        <f t="shared" si="28"/>
        <v>0</v>
      </c>
      <c r="J149" s="505">
        <f t="shared" si="30"/>
        <v>0</v>
      </c>
      <c r="K149" s="505"/>
      <c r="L149" s="513"/>
      <c r="M149" s="505">
        <f t="shared" si="31"/>
        <v>0</v>
      </c>
      <c r="N149" s="513"/>
      <c r="O149" s="505">
        <f t="shared" si="32"/>
        <v>0</v>
      </c>
      <c r="P149" s="505">
        <f t="shared" si="33"/>
        <v>0</v>
      </c>
    </row>
    <row r="150" spans="2:16" ht="12.5">
      <c r="B150" s="145" t="str">
        <f t="shared" si="15"/>
        <v/>
      </c>
      <c r="C150" s="496">
        <f>IF(D94="","-",+C149+1)</f>
        <v>2068</v>
      </c>
      <c r="D150" s="350">
        <f>IF(F149+SUM(E$100:E149)=D$93,F149,D$93-SUM(E$100:E149))</f>
        <v>0</v>
      </c>
      <c r="E150" s="510">
        <f t="shared" si="24"/>
        <v>0</v>
      </c>
      <c r="F150" s="511">
        <f t="shared" si="25"/>
        <v>0</v>
      </c>
      <c r="G150" s="511">
        <f t="shared" si="26"/>
        <v>0</v>
      </c>
      <c r="H150" s="645">
        <f t="shared" si="27"/>
        <v>0</v>
      </c>
      <c r="I150" s="628">
        <f t="shared" si="28"/>
        <v>0</v>
      </c>
      <c r="J150" s="505">
        <f t="shared" si="30"/>
        <v>0</v>
      </c>
      <c r="K150" s="505"/>
      <c r="L150" s="513"/>
      <c r="M150" s="505">
        <f t="shared" si="31"/>
        <v>0</v>
      </c>
      <c r="N150" s="513"/>
      <c r="O150" s="505">
        <f t="shared" si="32"/>
        <v>0</v>
      </c>
      <c r="P150" s="505">
        <f t="shared" si="33"/>
        <v>0</v>
      </c>
    </row>
    <row r="151" spans="2:16" ht="12.5">
      <c r="B151" s="145" t="str">
        <f t="shared" si="15"/>
        <v/>
      </c>
      <c r="C151" s="496">
        <f>IF(D94="","-",+C150+1)</f>
        <v>2069</v>
      </c>
      <c r="D151" s="350">
        <f>IF(F150+SUM(E$100:E150)=D$93,F150,D$93-SUM(E$100:E150))</f>
        <v>0</v>
      </c>
      <c r="E151" s="510">
        <f t="shared" si="24"/>
        <v>0</v>
      </c>
      <c r="F151" s="511">
        <f t="shared" si="25"/>
        <v>0</v>
      </c>
      <c r="G151" s="511">
        <f t="shared" si="26"/>
        <v>0</v>
      </c>
      <c r="H151" s="645">
        <f t="shared" si="27"/>
        <v>0</v>
      </c>
      <c r="I151" s="628">
        <f t="shared" si="28"/>
        <v>0</v>
      </c>
      <c r="J151" s="505">
        <f t="shared" si="30"/>
        <v>0</v>
      </c>
      <c r="K151" s="505"/>
      <c r="L151" s="513"/>
      <c r="M151" s="505">
        <f t="shared" si="31"/>
        <v>0</v>
      </c>
      <c r="N151" s="513"/>
      <c r="O151" s="505">
        <f t="shared" si="32"/>
        <v>0</v>
      </c>
      <c r="P151" s="505">
        <f t="shared" si="33"/>
        <v>0</v>
      </c>
    </row>
    <row r="152" spans="2:16" ht="12.5">
      <c r="B152" s="145" t="str">
        <f t="shared" si="15"/>
        <v/>
      </c>
      <c r="C152" s="496">
        <f>IF(D94="","-",+C151+1)</f>
        <v>2070</v>
      </c>
      <c r="D152" s="350">
        <f>IF(F151+SUM(E$100:E151)=D$93,F151,D$93-SUM(E$100:E151))</f>
        <v>0</v>
      </c>
      <c r="E152" s="510">
        <f t="shared" si="24"/>
        <v>0</v>
      </c>
      <c r="F152" s="511">
        <f t="shared" si="25"/>
        <v>0</v>
      </c>
      <c r="G152" s="511">
        <f t="shared" si="26"/>
        <v>0</v>
      </c>
      <c r="H152" s="645">
        <f t="shared" si="27"/>
        <v>0</v>
      </c>
      <c r="I152" s="628">
        <f t="shared" si="28"/>
        <v>0</v>
      </c>
      <c r="J152" s="505">
        <f t="shared" si="30"/>
        <v>0</v>
      </c>
      <c r="K152" s="505"/>
      <c r="L152" s="513"/>
      <c r="M152" s="505">
        <f t="shared" si="31"/>
        <v>0</v>
      </c>
      <c r="N152" s="513"/>
      <c r="O152" s="505">
        <f t="shared" si="32"/>
        <v>0</v>
      </c>
      <c r="P152" s="505">
        <f t="shared" si="33"/>
        <v>0</v>
      </c>
    </row>
    <row r="153" spans="2:16" ht="12.5">
      <c r="B153" s="145" t="str">
        <f t="shared" si="15"/>
        <v/>
      </c>
      <c r="C153" s="496">
        <f>IF(D94="","-",+C152+1)</f>
        <v>2071</v>
      </c>
      <c r="D153" s="350">
        <f>IF(F152+SUM(E$100:E152)=D$93,F152,D$93-SUM(E$100:E152))</f>
        <v>0</v>
      </c>
      <c r="E153" s="510">
        <f t="shared" si="24"/>
        <v>0</v>
      </c>
      <c r="F153" s="511">
        <f t="shared" si="25"/>
        <v>0</v>
      </c>
      <c r="G153" s="511">
        <f t="shared" si="26"/>
        <v>0</v>
      </c>
      <c r="H153" s="645">
        <f t="shared" si="27"/>
        <v>0</v>
      </c>
      <c r="I153" s="628">
        <f t="shared" si="28"/>
        <v>0</v>
      </c>
      <c r="J153" s="505">
        <f t="shared" si="30"/>
        <v>0</v>
      </c>
      <c r="K153" s="505"/>
      <c r="L153" s="513"/>
      <c r="M153" s="505">
        <f t="shared" si="31"/>
        <v>0</v>
      </c>
      <c r="N153" s="513"/>
      <c r="O153" s="505">
        <f t="shared" si="32"/>
        <v>0</v>
      </c>
      <c r="P153" s="505">
        <f t="shared" si="33"/>
        <v>0</v>
      </c>
    </row>
    <row r="154" spans="2:16" ht="12.5">
      <c r="B154" s="145" t="str">
        <f t="shared" si="15"/>
        <v/>
      </c>
      <c r="C154" s="496">
        <f>IF(D94="","-",+C153+1)</f>
        <v>2072</v>
      </c>
      <c r="D154" s="350">
        <f>IF(F153+SUM(E$100:E153)=D$93,F153,D$93-SUM(E$100:E153))</f>
        <v>0</v>
      </c>
      <c r="E154" s="510">
        <f t="shared" si="24"/>
        <v>0</v>
      </c>
      <c r="F154" s="511">
        <f t="shared" si="25"/>
        <v>0</v>
      </c>
      <c r="G154" s="511">
        <f t="shared" si="26"/>
        <v>0</v>
      </c>
      <c r="H154" s="645">
        <f t="shared" si="27"/>
        <v>0</v>
      </c>
      <c r="I154" s="628">
        <f t="shared" si="28"/>
        <v>0</v>
      </c>
      <c r="J154" s="505">
        <f t="shared" si="30"/>
        <v>0</v>
      </c>
      <c r="K154" s="505"/>
      <c r="L154" s="513"/>
      <c r="M154" s="505">
        <f t="shared" si="31"/>
        <v>0</v>
      </c>
      <c r="N154" s="513"/>
      <c r="O154" s="505">
        <f t="shared" si="32"/>
        <v>0</v>
      </c>
      <c r="P154" s="505">
        <f t="shared" si="33"/>
        <v>0</v>
      </c>
    </row>
    <row r="155" spans="2:16" ht="13" thickBot="1">
      <c r="B155" s="145" t="str">
        <f t="shared" si="15"/>
        <v/>
      </c>
      <c r="C155" s="525">
        <f>IF(D94="","-",+C154+1)</f>
        <v>2073</v>
      </c>
      <c r="D155" s="636">
        <f>IF(F154+SUM(E$100:E154)=D$93,F154,D$93-SUM(E$100:E154))</f>
        <v>0</v>
      </c>
      <c r="E155" s="527">
        <f t="shared" si="24"/>
        <v>0</v>
      </c>
      <c r="F155" s="528">
        <f t="shared" si="25"/>
        <v>0</v>
      </c>
      <c r="G155" s="528">
        <f t="shared" si="26"/>
        <v>0</v>
      </c>
      <c r="H155" s="645">
        <f t="shared" si="27"/>
        <v>0</v>
      </c>
      <c r="I155" s="624">
        <f t="shared" si="28"/>
        <v>0</v>
      </c>
      <c r="J155" s="532">
        <f t="shared" si="30"/>
        <v>0</v>
      </c>
      <c r="K155" s="505"/>
      <c r="L155" s="531"/>
      <c r="M155" s="532">
        <f t="shared" si="31"/>
        <v>0</v>
      </c>
      <c r="N155" s="531"/>
      <c r="O155" s="532">
        <f t="shared" si="32"/>
        <v>0</v>
      </c>
      <c r="P155" s="532">
        <f t="shared" si="33"/>
        <v>0</v>
      </c>
    </row>
    <row r="156" spans="2:16" ht="12.5">
      <c r="C156" s="350" t="s">
        <v>75</v>
      </c>
      <c r="D156" s="295"/>
      <c r="E156" s="295">
        <f>SUM(E100:E155)</f>
        <v>17093290.000000004</v>
      </c>
      <c r="F156" s="295"/>
      <c r="G156" s="295"/>
      <c r="H156" s="295">
        <f>SUM(H100:H155)</f>
        <v>37616274.285629608</v>
      </c>
      <c r="I156" s="295">
        <f>SUM(I100:I155)</f>
        <v>37616274.285629608</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20" priority="2" stopIfTrue="1" operator="equal">
      <formula>$I$10</formula>
    </cfRule>
  </conditionalFormatting>
  <conditionalFormatting sqref="C100:C155">
    <cfRule type="cellIs" dxfId="19" priority="3" stopIfTrue="1" operator="equal">
      <formula>$J$93</formula>
    </cfRule>
  </conditionalFormatting>
  <conditionalFormatting sqref="C72">
    <cfRule type="cellIs" dxfId="18"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63"/>
  <sheetViews>
    <sheetView topLeftCell="A59" zoomScale="85" zoomScaleNormal="85"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19 of 23</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1188202.637458564</v>
      </c>
      <c r="P5" s="244"/>
    </row>
    <row r="6" spans="1:16" ht="15.5">
      <c r="C6" s="236"/>
      <c r="D6" s="293"/>
      <c r="E6" s="244"/>
      <c r="F6" s="244"/>
      <c r="G6" s="244"/>
      <c r="H6" s="450"/>
      <c r="I6" s="450"/>
      <c r="J6" s="451"/>
      <c r="K6" s="452" t="s">
        <v>243</v>
      </c>
      <c r="L6" s="453"/>
      <c r="M6" s="279"/>
      <c r="N6" s="454">
        <f>VLOOKUP(I10,C17:I73,6)</f>
        <v>1188202.637458564</v>
      </c>
      <c r="O6" s="244"/>
      <c r="P6" s="244"/>
    </row>
    <row r="7" spans="1:16" ht="13.5" thickBot="1">
      <c r="C7" s="455" t="s">
        <v>46</v>
      </c>
      <c r="D7" s="635" t="s">
        <v>264</v>
      </c>
      <c r="E7" s="244"/>
      <c r="F7" s="244"/>
      <c r="G7" s="244"/>
      <c r="H7" s="326"/>
      <c r="I7" s="326"/>
      <c r="J7" s="295"/>
      <c r="K7" s="457" t="s">
        <v>47</v>
      </c>
      <c r="L7" s="458"/>
      <c r="M7" s="458"/>
      <c r="N7" s="459">
        <f>+N6-N5</f>
        <v>0</v>
      </c>
      <c r="O7" s="244"/>
      <c r="P7" s="244"/>
    </row>
    <row r="8" spans="1:16" ht="13.5" thickBot="1">
      <c r="C8" s="460"/>
      <c r="D8" s="461" t="str">
        <f>IF(D10&lt;100000,"DOES NOT MEET SPP $100,000 MINIMUM INVESTMENT FOR REGIONAL BPU SHARING.","")</f>
        <v/>
      </c>
      <c r="E8" s="462"/>
      <c r="F8" s="462"/>
      <c r="G8" s="462"/>
      <c r="H8" s="462"/>
      <c r="I8" s="462"/>
      <c r="J8" s="463"/>
      <c r="K8" s="462"/>
      <c r="L8" s="462"/>
      <c r="M8" s="462"/>
      <c r="N8" s="462"/>
      <c r="O8" s="463"/>
      <c r="P8" s="249"/>
    </row>
    <row r="9" spans="1:16" ht="13.5" thickBot="1">
      <c r="C9" s="464" t="s">
        <v>48</v>
      </c>
      <c r="D9" s="465" t="s">
        <v>266</v>
      </c>
      <c r="E9" s="466"/>
      <c r="F9" s="466"/>
      <c r="G9" s="466"/>
      <c r="H9" s="466"/>
      <c r="I9" s="467"/>
      <c r="J9" s="468"/>
      <c r="O9" s="469"/>
      <c r="P9" s="279"/>
    </row>
    <row r="10" spans="1:16" ht="13">
      <c r="C10" s="470" t="s">
        <v>49</v>
      </c>
      <c r="D10" s="471">
        <v>8934664.3900000006</v>
      </c>
      <c r="E10" s="300" t="s">
        <v>50</v>
      </c>
      <c r="F10" s="469"/>
      <c r="G10" s="409"/>
      <c r="H10" s="409"/>
      <c r="I10" s="472">
        <f>+'OKT.WS.F.BPU.ATRR.Projected'!R100</f>
        <v>2022</v>
      </c>
      <c r="J10" s="468"/>
      <c r="K10" s="295" t="s">
        <v>51</v>
      </c>
      <c r="O10" s="279"/>
      <c r="P10" s="279"/>
    </row>
    <row r="11" spans="1:16" ht="12.5">
      <c r="C11" s="473" t="s">
        <v>52</v>
      </c>
      <c r="D11" s="474">
        <v>2018</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5</v>
      </c>
      <c r="E12" s="473" t="s">
        <v>55</v>
      </c>
      <c r="F12" s="409"/>
      <c r="G12" s="221"/>
      <c r="H12" s="221"/>
      <c r="I12" s="477">
        <f>'OKT.WS.F.BPU.ATRR.Projected'!$F$78</f>
        <v>0.11475877389767174</v>
      </c>
      <c r="J12" s="414"/>
      <c r="K12" s="145" t="s">
        <v>56</v>
      </c>
      <c r="O12" s="279"/>
      <c r="P12" s="279"/>
    </row>
    <row r="13" spans="1:16"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row>
    <row r="14" spans="1:16" ht="13" thickBot="1">
      <c r="C14" s="473" t="s">
        <v>60</v>
      </c>
      <c r="D14" s="474" t="s">
        <v>61</v>
      </c>
      <c r="E14" s="279" t="s">
        <v>62</v>
      </c>
      <c r="F14" s="409"/>
      <c r="G14" s="221"/>
      <c r="H14" s="221"/>
      <c r="I14" s="478">
        <f>IF(D10=0,0,D10/D13)</f>
        <v>270747.40575757576</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2018</v>
      </c>
      <c r="D17" s="615">
        <v>0</v>
      </c>
      <c r="E17" s="614">
        <v>0</v>
      </c>
      <c r="F17" s="615">
        <v>8591402</v>
      </c>
      <c r="G17" s="614">
        <v>472269.24918780552</v>
      </c>
      <c r="H17" s="618">
        <v>472269.24918780552</v>
      </c>
      <c r="I17" s="501">
        <f t="shared" ref="I17:I71" si="1">H17-G17</f>
        <v>0</v>
      </c>
      <c r="J17" s="501"/>
      <c r="K17" s="502">
        <f t="shared" ref="K17:K22" si="2">+G17</f>
        <v>472269.24918780552</v>
      </c>
      <c r="L17" s="504">
        <f t="shared" ref="L17:L71" si="3">IF(K17&lt;&gt;0,+G17-K17,0)</f>
        <v>0</v>
      </c>
      <c r="M17" s="502">
        <f t="shared" ref="M17:M22" si="4">+H17</f>
        <v>472269.24918780552</v>
      </c>
      <c r="N17" s="504">
        <f t="shared" ref="N17:N71" si="5">IF(M17&lt;&gt;0,+H17-M17,0)</f>
        <v>0</v>
      </c>
      <c r="O17" s="505">
        <f t="shared" ref="O17:O71" si="6">+N17-L17</f>
        <v>0</v>
      </c>
      <c r="P17" s="279"/>
    </row>
    <row r="18" spans="2:16" ht="12.5">
      <c r="B18" s="145" t="str">
        <f t="shared" si="0"/>
        <v/>
      </c>
      <c r="C18" s="496">
        <f>IF(D11="","-",+C17+1)</f>
        <v>2019</v>
      </c>
      <c r="D18" s="615">
        <v>8591402</v>
      </c>
      <c r="E18" s="614">
        <v>254811.07676479843</v>
      </c>
      <c r="F18" s="615">
        <v>8336590.9232352013</v>
      </c>
      <c r="G18" s="614">
        <v>1134524.7126540036</v>
      </c>
      <c r="H18" s="618">
        <v>1134524.7126540036</v>
      </c>
      <c r="I18" s="501">
        <f t="shared" si="1"/>
        <v>0</v>
      </c>
      <c r="J18" s="501"/>
      <c r="K18" s="593">
        <f t="shared" si="2"/>
        <v>1134524.7126540036</v>
      </c>
      <c r="L18" s="597">
        <f t="shared" ref="L18" si="7">IF(K18&lt;&gt;0,+G18-K18,0)</f>
        <v>0</v>
      </c>
      <c r="M18" s="593">
        <f t="shared" si="4"/>
        <v>1134524.7126540036</v>
      </c>
      <c r="N18" s="505">
        <f t="shared" si="5"/>
        <v>0</v>
      </c>
      <c r="O18" s="505">
        <f t="shared" si="6"/>
        <v>0</v>
      </c>
      <c r="P18" s="279"/>
    </row>
    <row r="19" spans="2:16" ht="12.5">
      <c r="B19" s="145" t="str">
        <f t="shared" si="0"/>
        <v>IU</v>
      </c>
      <c r="C19" s="496">
        <f>IF(D11="","-",+C18+1)</f>
        <v>2020</v>
      </c>
      <c r="D19" s="615">
        <v>8386649.9543424007</v>
      </c>
      <c r="E19" s="614">
        <v>261622.86982027246</v>
      </c>
      <c r="F19" s="615">
        <v>8125027.0845221281</v>
      </c>
      <c r="G19" s="614">
        <v>1127928.3671828741</v>
      </c>
      <c r="H19" s="618">
        <v>1127928.3671828741</v>
      </c>
      <c r="I19" s="501">
        <f t="shared" si="1"/>
        <v>0</v>
      </c>
      <c r="J19" s="501"/>
      <c r="K19" s="593">
        <f t="shared" si="2"/>
        <v>1127928.3671828741</v>
      </c>
      <c r="L19" s="597">
        <f t="shared" ref="L19" si="8">IF(K19&lt;&gt;0,+G19-K19,0)</f>
        <v>0</v>
      </c>
      <c r="M19" s="593">
        <f t="shared" si="4"/>
        <v>1127928.3671828741</v>
      </c>
      <c r="N19" s="505">
        <f t="shared" si="5"/>
        <v>0</v>
      </c>
      <c r="O19" s="505">
        <f t="shared" si="6"/>
        <v>0</v>
      </c>
      <c r="P19" s="279"/>
    </row>
    <row r="20" spans="2:16" ht="12.5">
      <c r="B20" s="145" t="str">
        <f t="shared" si="0"/>
        <v>IU</v>
      </c>
      <c r="C20" s="496">
        <f>IF(D11="","-",+C19+1)</f>
        <v>2021</v>
      </c>
      <c r="D20" s="615">
        <v>8418230.0534149297</v>
      </c>
      <c r="E20" s="614">
        <v>288214.96774193546</v>
      </c>
      <c r="F20" s="615">
        <v>8130015.0856729941</v>
      </c>
      <c r="G20" s="614">
        <v>1183351.4738305765</v>
      </c>
      <c r="H20" s="618">
        <v>1183351.4738305765</v>
      </c>
      <c r="I20" s="501">
        <f t="shared" si="1"/>
        <v>0</v>
      </c>
      <c r="J20" s="501"/>
      <c r="K20" s="593">
        <f t="shared" si="2"/>
        <v>1183351.4738305765</v>
      </c>
      <c r="L20" s="597">
        <f t="shared" ref="L20" si="9">IF(K20&lt;&gt;0,+G20-K20,0)</f>
        <v>0</v>
      </c>
      <c r="M20" s="593">
        <f t="shared" si="4"/>
        <v>1183351.4738305765</v>
      </c>
      <c r="N20" s="505">
        <f t="shared" ref="N20" si="10">IF(M20&lt;&gt;0,+H20-M20,0)</f>
        <v>0</v>
      </c>
      <c r="O20" s="505">
        <f t="shared" ref="O20" si="11">+N20-L20</f>
        <v>0</v>
      </c>
      <c r="P20" s="279"/>
    </row>
    <row r="21" spans="2:16" ht="12.5">
      <c r="B21" s="145" t="str">
        <f t="shared" si="0"/>
        <v/>
      </c>
      <c r="C21" s="496">
        <f>IF(D11="","-",+C20+1)</f>
        <v>2022</v>
      </c>
      <c r="D21" s="615">
        <v>8130015.0856729941</v>
      </c>
      <c r="E21" s="614">
        <v>270747.39393939392</v>
      </c>
      <c r="F21" s="615">
        <v>7859267.6917336006</v>
      </c>
      <c r="G21" s="614">
        <v>1188202.637458564</v>
      </c>
      <c r="H21" s="618">
        <v>1188202.637458564</v>
      </c>
      <c r="I21" s="501">
        <f t="shared" si="1"/>
        <v>0</v>
      </c>
      <c r="J21" s="501"/>
      <c r="K21" s="593">
        <f t="shared" si="2"/>
        <v>1188202.637458564</v>
      </c>
      <c r="L21" s="597">
        <f t="shared" ref="L21" si="12">IF(K21&lt;&gt;0,+G21-K21,0)</f>
        <v>0</v>
      </c>
      <c r="M21" s="593">
        <f t="shared" si="4"/>
        <v>1188202.637458564</v>
      </c>
      <c r="N21" s="505">
        <f t="shared" si="5"/>
        <v>0</v>
      </c>
      <c r="O21" s="505">
        <f t="shared" si="6"/>
        <v>0</v>
      </c>
      <c r="P21" s="279"/>
    </row>
    <row r="22" spans="2:16" ht="12.5">
      <c r="B22" s="145" t="str">
        <f t="shared" si="0"/>
        <v>IU</v>
      </c>
      <c r="C22" s="496">
        <f>IF(D11="","-",+C21+1)</f>
        <v>2023</v>
      </c>
      <c r="D22" s="509">
        <v>7859268.0817336002</v>
      </c>
      <c r="E22" s="510">
        <v>288214.98032258067</v>
      </c>
      <c r="F22" s="511">
        <v>7571053.1014110195</v>
      </c>
      <c r="G22" s="512">
        <v>1160281.6090501249</v>
      </c>
      <c r="H22" s="478">
        <v>1160281.6090501249</v>
      </c>
      <c r="I22" s="501">
        <f t="shared" si="1"/>
        <v>0</v>
      </c>
      <c r="J22" s="501"/>
      <c r="K22" s="593">
        <f t="shared" si="2"/>
        <v>1160281.6090501249</v>
      </c>
      <c r="L22" s="597">
        <f t="shared" ref="L22" si="13">IF(K22&lt;&gt;0,+G22-K22,0)</f>
        <v>0</v>
      </c>
      <c r="M22" s="593">
        <f t="shared" si="4"/>
        <v>1160281.6090501249</v>
      </c>
      <c r="N22" s="505">
        <f t="shared" si="5"/>
        <v>0</v>
      </c>
      <c r="O22" s="505">
        <f t="shared" si="6"/>
        <v>0</v>
      </c>
      <c r="P22" s="279"/>
    </row>
    <row r="23" spans="2:16" ht="12.5">
      <c r="B23" s="145" t="str">
        <f t="shared" si="0"/>
        <v/>
      </c>
      <c r="C23" s="496">
        <f>IF(D11="","-",+C22+1)</f>
        <v>2024</v>
      </c>
      <c r="D23" s="509">
        <f>IF(F22+SUM(E$17:E22)=D$10,F22,D$10-SUM(E$17:E22))</f>
        <v>7571053.1014110195</v>
      </c>
      <c r="E23" s="510">
        <f t="shared" ref="E23:E71" si="14">IF(+I$14&lt;F22,I$14,D23)</f>
        <v>270747.40575757576</v>
      </c>
      <c r="F23" s="511">
        <f t="shared" ref="F23:F71" si="15">+D23-E23</f>
        <v>7300305.6956534442</v>
      </c>
      <c r="G23" s="512">
        <f t="shared" ref="G23:G71" si="16">(D23+F23)/2*I$12+E23</f>
        <v>1124056.856629312</v>
      </c>
      <c r="H23" s="478">
        <f t="shared" ref="H23:H71" si="17">+(D23+F23)/2*I$13+E23</f>
        <v>1124056.856629312</v>
      </c>
      <c r="I23" s="501">
        <f t="shared" si="1"/>
        <v>0</v>
      </c>
      <c r="J23" s="501"/>
      <c r="K23" s="513"/>
      <c r="L23" s="505">
        <f t="shared" si="3"/>
        <v>0</v>
      </c>
      <c r="M23" s="513"/>
      <c r="N23" s="505">
        <f t="shared" si="5"/>
        <v>0</v>
      </c>
      <c r="O23" s="505">
        <f t="shared" si="6"/>
        <v>0</v>
      </c>
      <c r="P23" s="279"/>
    </row>
    <row r="24" spans="2:16" ht="12.5">
      <c r="B24" s="145" t="str">
        <f t="shared" si="0"/>
        <v/>
      </c>
      <c r="C24" s="496">
        <f>IF(D11="","-",+C23+1)</f>
        <v>2025</v>
      </c>
      <c r="D24" s="509">
        <f>IF(F23+SUM(E$17:E23)=D$10,F23,D$10-SUM(E$17:E23))</f>
        <v>7300305.6956534442</v>
      </c>
      <c r="E24" s="510">
        <f t="shared" si="14"/>
        <v>270747.40575757576</v>
      </c>
      <c r="F24" s="511">
        <f t="shared" si="15"/>
        <v>7029558.2898958679</v>
      </c>
      <c r="G24" s="512">
        <f t="shared" si="16"/>
        <v>1092986.216308597</v>
      </c>
      <c r="H24" s="478">
        <f t="shared" si="17"/>
        <v>1092986.216308597</v>
      </c>
      <c r="I24" s="501">
        <f t="shared" si="1"/>
        <v>0</v>
      </c>
      <c r="J24" s="501"/>
      <c r="K24" s="513"/>
      <c r="L24" s="505">
        <f t="shared" si="3"/>
        <v>0</v>
      </c>
      <c r="M24" s="513"/>
      <c r="N24" s="505">
        <f t="shared" si="5"/>
        <v>0</v>
      </c>
      <c r="O24" s="505">
        <f t="shared" si="6"/>
        <v>0</v>
      </c>
      <c r="P24" s="279"/>
    </row>
    <row r="25" spans="2:16" ht="12.5">
      <c r="B25" s="145" t="str">
        <f t="shared" si="0"/>
        <v/>
      </c>
      <c r="C25" s="496">
        <f>IF(D11="","-",+C24+1)</f>
        <v>2026</v>
      </c>
      <c r="D25" s="509">
        <f>IF(F24+SUM(E$17:E24)=D$10,F24,D$10-SUM(E$17:E24))</f>
        <v>7029558.2898958679</v>
      </c>
      <c r="E25" s="510">
        <f t="shared" si="14"/>
        <v>270747.40575757576</v>
      </c>
      <c r="F25" s="511">
        <f t="shared" si="15"/>
        <v>6758810.8841382917</v>
      </c>
      <c r="G25" s="512">
        <f t="shared" si="16"/>
        <v>1061915.5759878822</v>
      </c>
      <c r="H25" s="478">
        <f t="shared" si="17"/>
        <v>1061915.5759878822</v>
      </c>
      <c r="I25" s="501">
        <f t="shared" si="1"/>
        <v>0</v>
      </c>
      <c r="J25" s="501"/>
      <c r="K25" s="513"/>
      <c r="L25" s="505">
        <f t="shared" si="3"/>
        <v>0</v>
      </c>
      <c r="M25" s="513"/>
      <c r="N25" s="505">
        <f t="shared" si="5"/>
        <v>0</v>
      </c>
      <c r="O25" s="505">
        <f t="shared" si="6"/>
        <v>0</v>
      </c>
      <c r="P25" s="279"/>
    </row>
    <row r="26" spans="2:16" ht="12.5">
      <c r="B26" s="145" t="str">
        <f t="shared" si="0"/>
        <v/>
      </c>
      <c r="C26" s="496">
        <f>IF(D11="","-",+C25+1)</f>
        <v>2027</v>
      </c>
      <c r="D26" s="509">
        <f>IF(F25+SUM(E$17:E25)=D$10,F25,D$10-SUM(E$17:E25))</f>
        <v>6758810.8841382917</v>
      </c>
      <c r="E26" s="510">
        <f t="shared" si="14"/>
        <v>270747.40575757576</v>
      </c>
      <c r="F26" s="511">
        <f t="shared" si="15"/>
        <v>6488063.4783807155</v>
      </c>
      <c r="G26" s="512">
        <f t="shared" si="16"/>
        <v>1030844.9356671673</v>
      </c>
      <c r="H26" s="478">
        <f t="shared" si="17"/>
        <v>1030844.9356671673</v>
      </c>
      <c r="I26" s="501">
        <f t="shared" si="1"/>
        <v>0</v>
      </c>
      <c r="J26" s="501"/>
      <c r="K26" s="513"/>
      <c r="L26" s="505">
        <f t="shared" si="3"/>
        <v>0</v>
      </c>
      <c r="M26" s="513"/>
      <c r="N26" s="505">
        <f t="shared" si="5"/>
        <v>0</v>
      </c>
      <c r="O26" s="505">
        <f t="shared" si="6"/>
        <v>0</v>
      </c>
      <c r="P26" s="279"/>
    </row>
    <row r="27" spans="2:16" ht="12.5">
      <c r="B27" s="145" t="str">
        <f t="shared" si="0"/>
        <v/>
      </c>
      <c r="C27" s="496">
        <f>IF(D11="","-",+C26+1)</f>
        <v>2028</v>
      </c>
      <c r="D27" s="509">
        <f>IF(F26+SUM(E$17:E26)=D$10,F26,D$10-SUM(E$17:E26))</f>
        <v>6488063.4783807155</v>
      </c>
      <c r="E27" s="510">
        <f t="shared" si="14"/>
        <v>270747.40575757576</v>
      </c>
      <c r="F27" s="511">
        <f t="shared" si="15"/>
        <v>6217316.0726231392</v>
      </c>
      <c r="G27" s="512">
        <f t="shared" si="16"/>
        <v>999774.29534645251</v>
      </c>
      <c r="H27" s="478">
        <f t="shared" si="17"/>
        <v>999774.29534645251</v>
      </c>
      <c r="I27" s="501">
        <f t="shared" si="1"/>
        <v>0</v>
      </c>
      <c r="J27" s="501"/>
      <c r="K27" s="513"/>
      <c r="L27" s="505">
        <f t="shared" si="3"/>
        <v>0</v>
      </c>
      <c r="M27" s="513"/>
      <c r="N27" s="505">
        <f t="shared" si="5"/>
        <v>0</v>
      </c>
      <c r="O27" s="505">
        <f t="shared" si="6"/>
        <v>0</v>
      </c>
      <c r="P27" s="279"/>
    </row>
    <row r="28" spans="2:16" ht="12.5">
      <c r="B28" s="145" t="str">
        <f t="shared" si="0"/>
        <v/>
      </c>
      <c r="C28" s="496">
        <f>IF(D11="","-",+C27+1)</f>
        <v>2029</v>
      </c>
      <c r="D28" s="509">
        <f>IF(F27+SUM(E$17:E27)=D$10,F27,D$10-SUM(E$17:E27))</f>
        <v>6217316.0726231392</v>
      </c>
      <c r="E28" s="510">
        <f t="shared" si="14"/>
        <v>270747.40575757576</v>
      </c>
      <c r="F28" s="511">
        <f t="shared" si="15"/>
        <v>5946568.666865563</v>
      </c>
      <c r="G28" s="512">
        <f t="shared" si="16"/>
        <v>968703.65502573759</v>
      </c>
      <c r="H28" s="478">
        <f t="shared" si="17"/>
        <v>968703.65502573759</v>
      </c>
      <c r="I28" s="501">
        <f t="shared" si="1"/>
        <v>0</v>
      </c>
      <c r="J28" s="501"/>
      <c r="K28" s="513"/>
      <c r="L28" s="505">
        <f t="shared" si="3"/>
        <v>0</v>
      </c>
      <c r="M28" s="513"/>
      <c r="N28" s="505">
        <f t="shared" si="5"/>
        <v>0</v>
      </c>
      <c r="O28" s="505">
        <f t="shared" si="6"/>
        <v>0</v>
      </c>
      <c r="P28" s="279"/>
    </row>
    <row r="29" spans="2:16" ht="12.5">
      <c r="B29" s="145" t="str">
        <f t="shared" si="0"/>
        <v/>
      </c>
      <c r="C29" s="496">
        <f>IF(D11="","-",+C28+1)</f>
        <v>2030</v>
      </c>
      <c r="D29" s="509">
        <f>IF(F28+SUM(E$17:E28)=D$10,F28,D$10-SUM(E$17:E28))</f>
        <v>5946568.666865563</v>
      </c>
      <c r="E29" s="510">
        <f t="shared" si="14"/>
        <v>270747.40575757576</v>
      </c>
      <c r="F29" s="511">
        <f t="shared" si="15"/>
        <v>5675821.2611079868</v>
      </c>
      <c r="G29" s="512">
        <f t="shared" si="16"/>
        <v>937633.01470502268</v>
      </c>
      <c r="H29" s="478">
        <f t="shared" si="17"/>
        <v>937633.01470502268</v>
      </c>
      <c r="I29" s="501">
        <f t="shared" si="1"/>
        <v>0</v>
      </c>
      <c r="J29" s="501"/>
      <c r="K29" s="513"/>
      <c r="L29" s="505">
        <f t="shared" si="3"/>
        <v>0</v>
      </c>
      <c r="M29" s="513"/>
      <c r="N29" s="505">
        <f t="shared" si="5"/>
        <v>0</v>
      </c>
      <c r="O29" s="505">
        <f t="shared" si="6"/>
        <v>0</v>
      </c>
      <c r="P29" s="279"/>
    </row>
    <row r="30" spans="2:16" ht="12.5">
      <c r="B30" s="145" t="str">
        <f t="shared" si="0"/>
        <v/>
      </c>
      <c r="C30" s="496">
        <f>IF(D11="","-",+C29+1)</f>
        <v>2031</v>
      </c>
      <c r="D30" s="509">
        <f>IF(F29+SUM(E$17:E29)=D$10,F29,D$10-SUM(E$17:E29))</f>
        <v>5675821.2611079868</v>
      </c>
      <c r="E30" s="510">
        <f t="shared" si="14"/>
        <v>270747.40575757576</v>
      </c>
      <c r="F30" s="511">
        <f t="shared" si="15"/>
        <v>5405073.8553504106</v>
      </c>
      <c r="G30" s="512">
        <f t="shared" si="16"/>
        <v>906562.37438430788</v>
      </c>
      <c r="H30" s="478">
        <f t="shared" si="17"/>
        <v>906562.37438430788</v>
      </c>
      <c r="I30" s="501">
        <f t="shared" si="1"/>
        <v>0</v>
      </c>
      <c r="J30" s="501"/>
      <c r="K30" s="513"/>
      <c r="L30" s="505">
        <f t="shared" si="3"/>
        <v>0</v>
      </c>
      <c r="M30" s="513"/>
      <c r="N30" s="505">
        <f t="shared" si="5"/>
        <v>0</v>
      </c>
      <c r="O30" s="505">
        <f t="shared" si="6"/>
        <v>0</v>
      </c>
      <c r="P30" s="279"/>
    </row>
    <row r="31" spans="2:16" ht="12.5">
      <c r="B31" s="145" t="str">
        <f t="shared" si="0"/>
        <v/>
      </c>
      <c r="C31" s="496">
        <f>IF(D11="","-",+C30+1)</f>
        <v>2032</v>
      </c>
      <c r="D31" s="509">
        <f>IF(F30+SUM(E$17:E30)=D$10,F30,D$10-SUM(E$17:E30))</f>
        <v>5405073.8553504106</v>
      </c>
      <c r="E31" s="510">
        <f t="shared" si="14"/>
        <v>270747.40575757576</v>
      </c>
      <c r="F31" s="511">
        <f t="shared" si="15"/>
        <v>5134326.4495928343</v>
      </c>
      <c r="G31" s="512">
        <f t="shared" si="16"/>
        <v>875491.73406359297</v>
      </c>
      <c r="H31" s="478">
        <f t="shared" si="17"/>
        <v>875491.73406359297</v>
      </c>
      <c r="I31" s="501">
        <f t="shared" si="1"/>
        <v>0</v>
      </c>
      <c r="J31" s="501"/>
      <c r="K31" s="513"/>
      <c r="L31" s="505">
        <f t="shared" si="3"/>
        <v>0</v>
      </c>
      <c r="M31" s="513"/>
      <c r="N31" s="505">
        <f t="shared" si="5"/>
        <v>0</v>
      </c>
      <c r="O31" s="505">
        <f t="shared" si="6"/>
        <v>0</v>
      </c>
      <c r="P31" s="279"/>
    </row>
    <row r="32" spans="2:16" ht="12.5">
      <c r="B32" s="145" t="str">
        <f t="shared" si="0"/>
        <v/>
      </c>
      <c r="C32" s="496">
        <f>IF(D11="","-",+C31+1)</f>
        <v>2033</v>
      </c>
      <c r="D32" s="509">
        <f>IF(F31+SUM(E$17:E31)=D$10,F31,D$10-SUM(E$17:E31))</f>
        <v>5134326.4495928343</v>
      </c>
      <c r="E32" s="510">
        <f t="shared" si="14"/>
        <v>270747.40575757576</v>
      </c>
      <c r="F32" s="511">
        <f t="shared" si="15"/>
        <v>4863579.0438352581</v>
      </c>
      <c r="G32" s="512">
        <f t="shared" si="16"/>
        <v>844421.09374287806</v>
      </c>
      <c r="H32" s="478">
        <f t="shared" si="17"/>
        <v>844421.09374287806</v>
      </c>
      <c r="I32" s="501">
        <f t="shared" si="1"/>
        <v>0</v>
      </c>
      <c r="J32" s="501"/>
      <c r="K32" s="513"/>
      <c r="L32" s="505">
        <f t="shared" si="3"/>
        <v>0</v>
      </c>
      <c r="M32" s="513"/>
      <c r="N32" s="505">
        <f t="shared" si="5"/>
        <v>0</v>
      </c>
      <c r="O32" s="505">
        <f t="shared" si="6"/>
        <v>0</v>
      </c>
      <c r="P32" s="279"/>
    </row>
    <row r="33" spans="2:16" ht="12.5">
      <c r="B33" s="145" t="str">
        <f t="shared" si="0"/>
        <v/>
      </c>
      <c r="C33" s="496">
        <f>IF(D11="","-",+C32+1)</f>
        <v>2034</v>
      </c>
      <c r="D33" s="509">
        <f>IF(F32+SUM(E$17:E32)=D$10,F32,D$10-SUM(E$17:E32))</f>
        <v>4863579.0438352581</v>
      </c>
      <c r="E33" s="510">
        <f t="shared" si="14"/>
        <v>270747.40575757576</v>
      </c>
      <c r="F33" s="511">
        <f t="shared" si="15"/>
        <v>4592831.6380776819</v>
      </c>
      <c r="G33" s="512">
        <f t="shared" si="16"/>
        <v>813350.45342216326</v>
      </c>
      <c r="H33" s="478">
        <f t="shared" si="17"/>
        <v>813350.45342216326</v>
      </c>
      <c r="I33" s="501">
        <f t="shared" si="1"/>
        <v>0</v>
      </c>
      <c r="J33" s="501"/>
      <c r="K33" s="513"/>
      <c r="L33" s="505">
        <f t="shared" si="3"/>
        <v>0</v>
      </c>
      <c r="M33" s="513"/>
      <c r="N33" s="505">
        <f t="shared" si="5"/>
        <v>0</v>
      </c>
      <c r="O33" s="505">
        <f t="shared" si="6"/>
        <v>0</v>
      </c>
      <c r="P33" s="279"/>
    </row>
    <row r="34" spans="2:16" ht="12.5">
      <c r="B34" s="145" t="str">
        <f t="shared" si="0"/>
        <v/>
      </c>
      <c r="C34" s="496">
        <f>IF(D11="","-",+C33+1)</f>
        <v>2035</v>
      </c>
      <c r="D34" s="509">
        <f>IF(F33+SUM(E$17:E33)=D$10,F33,D$10-SUM(E$17:E33))</f>
        <v>4592831.6380776819</v>
      </c>
      <c r="E34" s="510">
        <f t="shared" si="14"/>
        <v>270747.40575757576</v>
      </c>
      <c r="F34" s="511">
        <f t="shared" si="15"/>
        <v>4322084.2323201057</v>
      </c>
      <c r="G34" s="512">
        <f t="shared" si="16"/>
        <v>782279.81310144835</v>
      </c>
      <c r="H34" s="478">
        <f t="shared" si="17"/>
        <v>782279.81310144835</v>
      </c>
      <c r="I34" s="501">
        <f t="shared" si="1"/>
        <v>0</v>
      </c>
      <c r="J34" s="501"/>
      <c r="K34" s="513"/>
      <c r="L34" s="505">
        <f t="shared" si="3"/>
        <v>0</v>
      </c>
      <c r="M34" s="513"/>
      <c r="N34" s="505">
        <f t="shared" si="5"/>
        <v>0</v>
      </c>
      <c r="O34" s="505">
        <f t="shared" si="6"/>
        <v>0</v>
      </c>
      <c r="P34" s="279"/>
    </row>
    <row r="35" spans="2:16" ht="12.5">
      <c r="B35" s="145" t="str">
        <f t="shared" si="0"/>
        <v/>
      </c>
      <c r="C35" s="496">
        <f>IF(D11="","-",+C34+1)</f>
        <v>2036</v>
      </c>
      <c r="D35" s="509">
        <f>IF(F34+SUM(E$17:E34)=D$10,F34,D$10-SUM(E$17:E34))</f>
        <v>4322084.2323201057</v>
      </c>
      <c r="E35" s="510">
        <f t="shared" si="14"/>
        <v>270747.40575757576</v>
      </c>
      <c r="F35" s="511">
        <f t="shared" si="15"/>
        <v>4051336.8265625299</v>
      </c>
      <c r="G35" s="512">
        <f t="shared" si="16"/>
        <v>751209.17278073344</v>
      </c>
      <c r="H35" s="478">
        <f t="shared" si="17"/>
        <v>751209.17278073344</v>
      </c>
      <c r="I35" s="501">
        <f t="shared" si="1"/>
        <v>0</v>
      </c>
      <c r="J35" s="501"/>
      <c r="K35" s="513"/>
      <c r="L35" s="505">
        <f t="shared" si="3"/>
        <v>0</v>
      </c>
      <c r="M35" s="513"/>
      <c r="N35" s="505">
        <f t="shared" si="5"/>
        <v>0</v>
      </c>
      <c r="O35" s="505">
        <f t="shared" si="6"/>
        <v>0</v>
      </c>
      <c r="P35" s="279"/>
    </row>
    <row r="36" spans="2:16" ht="12.5">
      <c r="B36" s="145" t="str">
        <f t="shared" si="0"/>
        <v/>
      </c>
      <c r="C36" s="496">
        <f>IF(D11="","-",+C35+1)</f>
        <v>2037</v>
      </c>
      <c r="D36" s="509">
        <f>IF(F35+SUM(E$17:E35)=D$10,F35,D$10-SUM(E$17:E35))</f>
        <v>4051336.8265625299</v>
      </c>
      <c r="E36" s="510">
        <f t="shared" si="14"/>
        <v>270747.40575757576</v>
      </c>
      <c r="F36" s="511">
        <f t="shared" si="15"/>
        <v>3780589.4208049541</v>
      </c>
      <c r="G36" s="512">
        <f t="shared" si="16"/>
        <v>720138.53246001876</v>
      </c>
      <c r="H36" s="478">
        <f t="shared" si="17"/>
        <v>720138.53246001876</v>
      </c>
      <c r="I36" s="501">
        <f t="shared" si="1"/>
        <v>0</v>
      </c>
      <c r="J36" s="501"/>
      <c r="K36" s="513"/>
      <c r="L36" s="505">
        <f t="shared" si="3"/>
        <v>0</v>
      </c>
      <c r="M36" s="513"/>
      <c r="N36" s="505">
        <f t="shared" si="5"/>
        <v>0</v>
      </c>
      <c r="O36" s="505">
        <f t="shared" si="6"/>
        <v>0</v>
      </c>
      <c r="P36" s="279"/>
    </row>
    <row r="37" spans="2:16" ht="12.5">
      <c r="B37" s="145" t="str">
        <f t="shared" si="0"/>
        <v/>
      </c>
      <c r="C37" s="496">
        <f>IF(D11="","-",+C36+1)</f>
        <v>2038</v>
      </c>
      <c r="D37" s="509">
        <f>IF(F36+SUM(E$17:E36)=D$10,F36,D$10-SUM(E$17:E36))</f>
        <v>3780589.4208049541</v>
      </c>
      <c r="E37" s="510">
        <f t="shared" si="14"/>
        <v>270747.40575757576</v>
      </c>
      <c r="F37" s="511">
        <f t="shared" si="15"/>
        <v>3509842.0150473784</v>
      </c>
      <c r="G37" s="512">
        <f t="shared" si="16"/>
        <v>689067.89213930373</v>
      </c>
      <c r="H37" s="478">
        <f t="shared" si="17"/>
        <v>689067.89213930373</v>
      </c>
      <c r="I37" s="501">
        <f t="shared" si="1"/>
        <v>0</v>
      </c>
      <c r="J37" s="501"/>
      <c r="K37" s="513"/>
      <c r="L37" s="505">
        <f t="shared" si="3"/>
        <v>0</v>
      </c>
      <c r="M37" s="513"/>
      <c r="N37" s="505">
        <f t="shared" si="5"/>
        <v>0</v>
      </c>
      <c r="O37" s="505">
        <f t="shared" si="6"/>
        <v>0</v>
      </c>
      <c r="P37" s="279"/>
    </row>
    <row r="38" spans="2:16" ht="12.5">
      <c r="B38" s="145" t="str">
        <f t="shared" si="0"/>
        <v/>
      </c>
      <c r="C38" s="496">
        <f>IF(D11="","-",+C37+1)</f>
        <v>2039</v>
      </c>
      <c r="D38" s="509">
        <f>IF(F37+SUM(E$17:E37)=D$10,F37,D$10-SUM(E$17:E37))</f>
        <v>3509842.0150473784</v>
      </c>
      <c r="E38" s="510">
        <f t="shared" si="14"/>
        <v>270747.40575757576</v>
      </c>
      <c r="F38" s="511">
        <f t="shared" si="15"/>
        <v>3239094.6092898026</v>
      </c>
      <c r="G38" s="512">
        <f t="shared" si="16"/>
        <v>657997.25181858905</v>
      </c>
      <c r="H38" s="478">
        <f t="shared" si="17"/>
        <v>657997.25181858905</v>
      </c>
      <c r="I38" s="501">
        <f t="shared" si="1"/>
        <v>0</v>
      </c>
      <c r="J38" s="501"/>
      <c r="K38" s="513"/>
      <c r="L38" s="505">
        <f t="shared" si="3"/>
        <v>0</v>
      </c>
      <c r="M38" s="513"/>
      <c r="N38" s="505">
        <f t="shared" si="5"/>
        <v>0</v>
      </c>
      <c r="O38" s="505">
        <f t="shared" si="6"/>
        <v>0</v>
      </c>
      <c r="P38" s="279"/>
    </row>
    <row r="39" spans="2:16" ht="12.5">
      <c r="B39" s="145" t="str">
        <f t="shared" si="0"/>
        <v/>
      </c>
      <c r="C39" s="496">
        <f>IF(D11="","-",+C38+1)</f>
        <v>2040</v>
      </c>
      <c r="D39" s="509">
        <f>IF(F38+SUM(E$17:E38)=D$10,F38,D$10-SUM(E$17:E38))</f>
        <v>3239094.6092898026</v>
      </c>
      <c r="E39" s="510">
        <f t="shared" si="14"/>
        <v>270747.40575757576</v>
      </c>
      <c r="F39" s="511">
        <f t="shared" si="15"/>
        <v>2968347.2035322268</v>
      </c>
      <c r="G39" s="512">
        <f t="shared" si="16"/>
        <v>626926.61149787414</v>
      </c>
      <c r="H39" s="478">
        <f t="shared" si="17"/>
        <v>626926.61149787414</v>
      </c>
      <c r="I39" s="501">
        <f t="shared" si="1"/>
        <v>0</v>
      </c>
      <c r="J39" s="501"/>
      <c r="K39" s="513"/>
      <c r="L39" s="505">
        <f t="shared" si="3"/>
        <v>0</v>
      </c>
      <c r="M39" s="513"/>
      <c r="N39" s="505">
        <f t="shared" si="5"/>
        <v>0</v>
      </c>
      <c r="O39" s="505">
        <f t="shared" si="6"/>
        <v>0</v>
      </c>
      <c r="P39" s="279"/>
    </row>
    <row r="40" spans="2:16" ht="12.5">
      <c r="B40" s="145" t="str">
        <f t="shared" si="0"/>
        <v/>
      </c>
      <c r="C40" s="496">
        <f>IF(D11="","-",+C39+1)</f>
        <v>2041</v>
      </c>
      <c r="D40" s="509">
        <f>IF(F39+SUM(E$17:E39)=D$10,F39,D$10-SUM(E$17:E39))</f>
        <v>2968347.2035322268</v>
      </c>
      <c r="E40" s="510">
        <f t="shared" si="14"/>
        <v>270747.40575757576</v>
      </c>
      <c r="F40" s="511">
        <f t="shared" si="15"/>
        <v>2697599.7977746511</v>
      </c>
      <c r="G40" s="512">
        <f t="shared" si="16"/>
        <v>595855.97117715934</v>
      </c>
      <c r="H40" s="478">
        <f t="shared" si="17"/>
        <v>595855.97117715934</v>
      </c>
      <c r="I40" s="501">
        <f t="shared" si="1"/>
        <v>0</v>
      </c>
      <c r="J40" s="501"/>
      <c r="K40" s="513"/>
      <c r="L40" s="505">
        <f t="shared" si="3"/>
        <v>0</v>
      </c>
      <c r="M40" s="513"/>
      <c r="N40" s="505">
        <f t="shared" si="5"/>
        <v>0</v>
      </c>
      <c r="O40" s="505">
        <f t="shared" si="6"/>
        <v>0</v>
      </c>
      <c r="P40" s="279"/>
    </row>
    <row r="41" spans="2:16" ht="12.5">
      <c r="B41" s="145" t="str">
        <f t="shared" si="0"/>
        <v/>
      </c>
      <c r="C41" s="496">
        <f>IF(D11="","-",+C40+1)</f>
        <v>2042</v>
      </c>
      <c r="D41" s="509">
        <f>IF(F40+SUM(E$17:E40)=D$10,F40,D$10-SUM(E$17:E40))</f>
        <v>2697599.7977746511</v>
      </c>
      <c r="E41" s="510">
        <f t="shared" si="14"/>
        <v>270747.40575757576</v>
      </c>
      <c r="F41" s="511">
        <f t="shared" si="15"/>
        <v>2426852.3920170753</v>
      </c>
      <c r="G41" s="512">
        <f t="shared" si="16"/>
        <v>564785.33085644455</v>
      </c>
      <c r="H41" s="478">
        <f t="shared" si="17"/>
        <v>564785.33085644455</v>
      </c>
      <c r="I41" s="501">
        <f t="shared" si="1"/>
        <v>0</v>
      </c>
      <c r="J41" s="501"/>
      <c r="K41" s="513"/>
      <c r="L41" s="505">
        <f t="shared" si="3"/>
        <v>0</v>
      </c>
      <c r="M41" s="513"/>
      <c r="N41" s="505">
        <f t="shared" si="5"/>
        <v>0</v>
      </c>
      <c r="O41" s="505">
        <f t="shared" si="6"/>
        <v>0</v>
      </c>
      <c r="P41" s="279"/>
    </row>
    <row r="42" spans="2:16" ht="12.5">
      <c r="B42" s="145" t="str">
        <f t="shared" si="0"/>
        <v/>
      </c>
      <c r="C42" s="496">
        <f>IF(D11="","-",+C41+1)</f>
        <v>2043</v>
      </c>
      <c r="D42" s="509">
        <f>IF(F41+SUM(E$17:E41)=D$10,F41,D$10-SUM(E$17:E41))</f>
        <v>2426852.3920170753</v>
      </c>
      <c r="E42" s="510">
        <f t="shared" si="14"/>
        <v>270747.40575757576</v>
      </c>
      <c r="F42" s="511">
        <f t="shared" si="15"/>
        <v>2156104.9862594996</v>
      </c>
      <c r="G42" s="512">
        <f t="shared" si="16"/>
        <v>533714.69053572975</v>
      </c>
      <c r="H42" s="478">
        <f t="shared" si="17"/>
        <v>533714.69053572975</v>
      </c>
      <c r="I42" s="501">
        <f t="shared" si="1"/>
        <v>0</v>
      </c>
      <c r="J42" s="501"/>
      <c r="K42" s="513"/>
      <c r="L42" s="505">
        <f t="shared" si="3"/>
        <v>0</v>
      </c>
      <c r="M42" s="513"/>
      <c r="N42" s="505">
        <f t="shared" si="5"/>
        <v>0</v>
      </c>
      <c r="O42" s="505">
        <f t="shared" si="6"/>
        <v>0</v>
      </c>
      <c r="P42" s="279"/>
    </row>
    <row r="43" spans="2:16" ht="12.5">
      <c r="B43" s="145" t="str">
        <f t="shared" si="0"/>
        <v/>
      </c>
      <c r="C43" s="496">
        <f>IF(D11="","-",+C42+1)</f>
        <v>2044</v>
      </c>
      <c r="D43" s="509">
        <f>IF(F42+SUM(E$17:E42)=D$10,F42,D$10-SUM(E$17:E42))</f>
        <v>2156104.9862594996</v>
      </c>
      <c r="E43" s="510">
        <f t="shared" si="14"/>
        <v>270747.40575757576</v>
      </c>
      <c r="F43" s="511">
        <f t="shared" si="15"/>
        <v>1885357.5805019238</v>
      </c>
      <c r="G43" s="512">
        <f t="shared" si="16"/>
        <v>502644.0502150149</v>
      </c>
      <c r="H43" s="478">
        <f t="shared" si="17"/>
        <v>502644.0502150149</v>
      </c>
      <c r="I43" s="501">
        <f t="shared" si="1"/>
        <v>0</v>
      </c>
      <c r="J43" s="501"/>
      <c r="K43" s="513"/>
      <c r="L43" s="505">
        <f t="shared" si="3"/>
        <v>0</v>
      </c>
      <c r="M43" s="513"/>
      <c r="N43" s="505">
        <f t="shared" si="5"/>
        <v>0</v>
      </c>
      <c r="O43" s="505">
        <f t="shared" si="6"/>
        <v>0</v>
      </c>
      <c r="P43" s="279"/>
    </row>
    <row r="44" spans="2:16" ht="12.5">
      <c r="B44" s="145" t="str">
        <f t="shared" si="0"/>
        <v/>
      </c>
      <c r="C44" s="496">
        <f>IF(D11="","-",+C43+1)</f>
        <v>2045</v>
      </c>
      <c r="D44" s="509">
        <f>IF(F43+SUM(E$17:E43)=D$10,F43,D$10-SUM(E$17:E43))</f>
        <v>1885357.5805019238</v>
      </c>
      <c r="E44" s="510">
        <f t="shared" si="14"/>
        <v>270747.40575757576</v>
      </c>
      <c r="F44" s="511">
        <f t="shared" si="15"/>
        <v>1614610.174744348</v>
      </c>
      <c r="G44" s="512">
        <f t="shared" si="16"/>
        <v>471573.40989430004</v>
      </c>
      <c r="H44" s="478">
        <f t="shared" si="17"/>
        <v>471573.40989430004</v>
      </c>
      <c r="I44" s="501">
        <f t="shared" si="1"/>
        <v>0</v>
      </c>
      <c r="J44" s="501"/>
      <c r="K44" s="513"/>
      <c r="L44" s="505">
        <f t="shared" si="3"/>
        <v>0</v>
      </c>
      <c r="M44" s="513"/>
      <c r="N44" s="505">
        <f t="shared" si="5"/>
        <v>0</v>
      </c>
      <c r="O44" s="505">
        <f t="shared" si="6"/>
        <v>0</v>
      </c>
      <c r="P44" s="279"/>
    </row>
    <row r="45" spans="2:16" ht="12.5">
      <c r="B45" s="145" t="str">
        <f t="shared" si="0"/>
        <v/>
      </c>
      <c r="C45" s="496">
        <f>IF(D11="","-",+C44+1)</f>
        <v>2046</v>
      </c>
      <c r="D45" s="509">
        <f>IF(F44+SUM(E$17:E44)=D$10,F44,D$10-SUM(E$17:E44))</f>
        <v>1614610.174744348</v>
      </c>
      <c r="E45" s="510">
        <f t="shared" si="14"/>
        <v>270747.40575757576</v>
      </c>
      <c r="F45" s="511">
        <f t="shared" si="15"/>
        <v>1343862.7689867723</v>
      </c>
      <c r="G45" s="512">
        <f t="shared" si="16"/>
        <v>440502.76957358525</v>
      </c>
      <c r="H45" s="478">
        <f t="shared" si="17"/>
        <v>440502.76957358525</v>
      </c>
      <c r="I45" s="501">
        <f t="shared" si="1"/>
        <v>0</v>
      </c>
      <c r="J45" s="501"/>
      <c r="K45" s="513"/>
      <c r="L45" s="505">
        <f t="shared" si="3"/>
        <v>0</v>
      </c>
      <c r="M45" s="513"/>
      <c r="N45" s="505">
        <f t="shared" si="5"/>
        <v>0</v>
      </c>
      <c r="O45" s="505">
        <f t="shared" si="6"/>
        <v>0</v>
      </c>
      <c r="P45" s="279"/>
    </row>
    <row r="46" spans="2:16" ht="12.5">
      <c r="B46" s="145" t="str">
        <f t="shared" si="0"/>
        <v/>
      </c>
      <c r="C46" s="496">
        <f>IF(D11="","-",+C45+1)</f>
        <v>2047</v>
      </c>
      <c r="D46" s="509">
        <f>IF(F45+SUM(E$17:E45)=D$10,F45,D$10-SUM(E$17:E45))</f>
        <v>1343862.7689867723</v>
      </c>
      <c r="E46" s="510">
        <f t="shared" si="14"/>
        <v>270747.40575757576</v>
      </c>
      <c r="F46" s="511">
        <f t="shared" si="15"/>
        <v>1073115.3632291965</v>
      </c>
      <c r="G46" s="512">
        <f t="shared" si="16"/>
        <v>409432.12925287045</v>
      </c>
      <c r="H46" s="478">
        <f t="shared" si="17"/>
        <v>409432.12925287045</v>
      </c>
      <c r="I46" s="501">
        <f t="shared" si="1"/>
        <v>0</v>
      </c>
      <c r="J46" s="501"/>
      <c r="K46" s="513"/>
      <c r="L46" s="505">
        <f t="shared" si="3"/>
        <v>0</v>
      </c>
      <c r="M46" s="513"/>
      <c r="N46" s="505">
        <f t="shared" si="5"/>
        <v>0</v>
      </c>
      <c r="O46" s="505">
        <f t="shared" si="6"/>
        <v>0</v>
      </c>
      <c r="P46" s="279"/>
    </row>
    <row r="47" spans="2:16" ht="12.5">
      <c r="B47" s="145" t="str">
        <f t="shared" si="0"/>
        <v/>
      </c>
      <c r="C47" s="496">
        <f>IF(D11="","-",+C46+1)</f>
        <v>2048</v>
      </c>
      <c r="D47" s="509">
        <f>IF(F46+SUM(E$17:E46)=D$10,F46,D$10-SUM(E$17:E46))</f>
        <v>1073115.3632291965</v>
      </c>
      <c r="E47" s="510">
        <f t="shared" si="14"/>
        <v>270747.40575757576</v>
      </c>
      <c r="F47" s="511">
        <f t="shared" si="15"/>
        <v>802367.95747162076</v>
      </c>
      <c r="G47" s="512">
        <f t="shared" si="16"/>
        <v>378361.4889321556</v>
      </c>
      <c r="H47" s="478">
        <f t="shared" si="17"/>
        <v>378361.4889321556</v>
      </c>
      <c r="I47" s="501">
        <f t="shared" si="1"/>
        <v>0</v>
      </c>
      <c r="J47" s="501"/>
      <c r="K47" s="513"/>
      <c r="L47" s="505">
        <f t="shared" si="3"/>
        <v>0</v>
      </c>
      <c r="M47" s="513"/>
      <c r="N47" s="505">
        <f t="shared" si="5"/>
        <v>0</v>
      </c>
      <c r="O47" s="505">
        <f t="shared" si="6"/>
        <v>0</v>
      </c>
      <c r="P47" s="279"/>
    </row>
    <row r="48" spans="2:16" ht="12.5">
      <c r="B48" s="145" t="str">
        <f t="shared" si="0"/>
        <v/>
      </c>
      <c r="C48" s="496">
        <f>IF(D11="","-",+C47+1)</f>
        <v>2049</v>
      </c>
      <c r="D48" s="509">
        <f>IF(F47+SUM(E$17:E47)=D$10,F47,D$10-SUM(E$17:E47))</f>
        <v>802367.95747162076</v>
      </c>
      <c r="E48" s="510">
        <f t="shared" si="14"/>
        <v>270747.40575757576</v>
      </c>
      <c r="F48" s="511">
        <f t="shared" si="15"/>
        <v>531620.551714045</v>
      </c>
      <c r="G48" s="512">
        <f t="shared" si="16"/>
        <v>347290.84861144074</v>
      </c>
      <c r="H48" s="478">
        <f t="shared" si="17"/>
        <v>347290.84861144074</v>
      </c>
      <c r="I48" s="501">
        <f t="shared" si="1"/>
        <v>0</v>
      </c>
      <c r="J48" s="501"/>
      <c r="K48" s="513"/>
      <c r="L48" s="505">
        <f t="shared" si="3"/>
        <v>0</v>
      </c>
      <c r="M48" s="513"/>
      <c r="N48" s="505">
        <f t="shared" si="5"/>
        <v>0</v>
      </c>
      <c r="O48" s="505">
        <f t="shared" si="6"/>
        <v>0</v>
      </c>
      <c r="P48" s="279"/>
    </row>
    <row r="49" spans="2:16" ht="12.5">
      <c r="B49" s="145" t="str">
        <f t="shared" si="0"/>
        <v/>
      </c>
      <c r="C49" s="496">
        <f>IF(D11="","-",+C48+1)</f>
        <v>2050</v>
      </c>
      <c r="D49" s="509">
        <f>IF(F48+SUM(E$17:E48)=D$10,F48,D$10-SUM(E$17:E48))</f>
        <v>531620.551714045</v>
      </c>
      <c r="E49" s="510">
        <f t="shared" si="14"/>
        <v>270747.40575757576</v>
      </c>
      <c r="F49" s="511">
        <f t="shared" si="15"/>
        <v>260873.14595646923</v>
      </c>
      <c r="G49" s="512">
        <f t="shared" si="16"/>
        <v>316220.20829072595</v>
      </c>
      <c r="H49" s="478">
        <f t="shared" si="17"/>
        <v>316220.20829072595</v>
      </c>
      <c r="I49" s="501">
        <f t="shared" si="1"/>
        <v>0</v>
      </c>
      <c r="J49" s="501"/>
      <c r="K49" s="513"/>
      <c r="L49" s="505">
        <f t="shared" si="3"/>
        <v>0</v>
      </c>
      <c r="M49" s="513"/>
      <c r="N49" s="505">
        <f t="shared" si="5"/>
        <v>0</v>
      </c>
      <c r="O49" s="505">
        <f t="shared" si="6"/>
        <v>0</v>
      </c>
      <c r="P49" s="279"/>
    </row>
    <row r="50" spans="2:16" ht="12.5">
      <c r="B50" s="145" t="str">
        <f t="shared" si="0"/>
        <v/>
      </c>
      <c r="C50" s="496">
        <f>IF(D11="","-",+C49+1)</f>
        <v>2051</v>
      </c>
      <c r="D50" s="509">
        <f>IF(F49+SUM(E$17:E49)=D$10,F49,D$10-SUM(E$17:E49))</f>
        <v>260873.14595646923</v>
      </c>
      <c r="E50" s="510">
        <f t="shared" si="14"/>
        <v>260873.14595646923</v>
      </c>
      <c r="F50" s="511">
        <f t="shared" si="15"/>
        <v>0</v>
      </c>
      <c r="G50" s="512">
        <f t="shared" si="16"/>
        <v>275841.88714286563</v>
      </c>
      <c r="H50" s="478">
        <f t="shared" si="17"/>
        <v>275841.88714286563</v>
      </c>
      <c r="I50" s="501">
        <f t="shared" si="1"/>
        <v>0</v>
      </c>
      <c r="J50" s="501"/>
      <c r="K50" s="513"/>
      <c r="L50" s="505">
        <f t="shared" si="3"/>
        <v>0</v>
      </c>
      <c r="M50" s="513"/>
      <c r="N50" s="505">
        <f t="shared" si="5"/>
        <v>0</v>
      </c>
      <c r="O50" s="505">
        <f t="shared" si="6"/>
        <v>0</v>
      </c>
      <c r="P50" s="279"/>
    </row>
    <row r="51" spans="2:16" ht="12.5">
      <c r="B51" s="145" t="str">
        <f t="shared" si="0"/>
        <v/>
      </c>
      <c r="C51" s="496">
        <f>IF(D11="","-",+C50+1)</f>
        <v>2052</v>
      </c>
      <c r="D51" s="509">
        <f>IF(F50+SUM(E$17:E50)=D$10,F50,D$10-SUM(E$17:E50))</f>
        <v>0</v>
      </c>
      <c r="E51" s="510">
        <f t="shared" si="14"/>
        <v>0</v>
      </c>
      <c r="F51" s="511">
        <f t="shared" si="15"/>
        <v>0</v>
      </c>
      <c r="G51" s="512">
        <f t="shared" si="16"/>
        <v>0</v>
      </c>
      <c r="H51" s="478">
        <f t="shared" si="17"/>
        <v>0</v>
      </c>
      <c r="I51" s="501">
        <f t="shared" si="1"/>
        <v>0</v>
      </c>
      <c r="J51" s="501"/>
      <c r="K51" s="513"/>
      <c r="L51" s="505">
        <f t="shared" si="3"/>
        <v>0</v>
      </c>
      <c r="M51" s="513"/>
      <c r="N51" s="505">
        <f t="shared" si="5"/>
        <v>0</v>
      </c>
      <c r="O51" s="505">
        <f t="shared" si="6"/>
        <v>0</v>
      </c>
      <c r="P51" s="279"/>
    </row>
    <row r="52" spans="2:16" ht="12.5">
      <c r="B52" s="145" t="str">
        <f t="shared" si="0"/>
        <v/>
      </c>
      <c r="C52" s="496">
        <f>IF(D11="","-",+C51+1)</f>
        <v>2053</v>
      </c>
      <c r="D52" s="509">
        <f>IF(F51+SUM(E$17:E51)=D$10,F51,D$10-SUM(E$17:E51))</f>
        <v>0</v>
      </c>
      <c r="E52" s="510">
        <f t="shared" si="14"/>
        <v>0</v>
      </c>
      <c r="F52" s="511">
        <f t="shared" si="15"/>
        <v>0</v>
      </c>
      <c r="G52" s="512">
        <f t="shared" si="16"/>
        <v>0</v>
      </c>
      <c r="H52" s="478">
        <f t="shared" si="17"/>
        <v>0</v>
      </c>
      <c r="I52" s="501">
        <f t="shared" si="1"/>
        <v>0</v>
      </c>
      <c r="J52" s="501"/>
      <c r="K52" s="513"/>
      <c r="L52" s="505">
        <f t="shared" si="3"/>
        <v>0</v>
      </c>
      <c r="M52" s="513"/>
      <c r="N52" s="505">
        <f t="shared" si="5"/>
        <v>0</v>
      </c>
      <c r="O52" s="505">
        <f t="shared" si="6"/>
        <v>0</v>
      </c>
      <c r="P52" s="279"/>
    </row>
    <row r="53" spans="2:16" ht="12.5">
      <c r="B53" s="145" t="str">
        <f t="shared" si="0"/>
        <v/>
      </c>
      <c r="C53" s="496">
        <f>IF(D11="","-",+C52+1)</f>
        <v>2054</v>
      </c>
      <c r="D53" s="509">
        <f>IF(F52+SUM(E$17:E52)=D$10,F52,D$10-SUM(E$17:E52))</f>
        <v>0</v>
      </c>
      <c r="E53" s="510">
        <f t="shared" si="14"/>
        <v>0</v>
      </c>
      <c r="F53" s="511">
        <f t="shared" si="15"/>
        <v>0</v>
      </c>
      <c r="G53" s="512">
        <f t="shared" si="16"/>
        <v>0</v>
      </c>
      <c r="H53" s="478">
        <f t="shared" si="17"/>
        <v>0</v>
      </c>
      <c r="I53" s="501">
        <f t="shared" si="1"/>
        <v>0</v>
      </c>
      <c r="J53" s="501"/>
      <c r="K53" s="513"/>
      <c r="L53" s="505">
        <f t="shared" si="3"/>
        <v>0</v>
      </c>
      <c r="M53" s="513"/>
      <c r="N53" s="505">
        <f t="shared" si="5"/>
        <v>0</v>
      </c>
      <c r="O53" s="505">
        <f t="shared" si="6"/>
        <v>0</v>
      </c>
      <c r="P53" s="279"/>
    </row>
    <row r="54" spans="2:16" ht="12.5">
      <c r="B54" s="145" t="str">
        <f t="shared" si="0"/>
        <v/>
      </c>
      <c r="C54" s="496">
        <f>IF(D11="","-",+C53+1)</f>
        <v>2055</v>
      </c>
      <c r="D54" s="509">
        <f>IF(F53+SUM(E$17:E53)=D$10,F53,D$10-SUM(E$17:E53))</f>
        <v>0</v>
      </c>
      <c r="E54" s="510">
        <f t="shared" si="14"/>
        <v>0</v>
      </c>
      <c r="F54" s="511">
        <f t="shared" si="15"/>
        <v>0</v>
      </c>
      <c r="G54" s="512">
        <f t="shared" si="16"/>
        <v>0</v>
      </c>
      <c r="H54" s="478">
        <f t="shared" si="17"/>
        <v>0</v>
      </c>
      <c r="I54" s="501">
        <f t="shared" si="1"/>
        <v>0</v>
      </c>
      <c r="J54" s="501"/>
      <c r="K54" s="513"/>
      <c r="L54" s="505">
        <f t="shared" si="3"/>
        <v>0</v>
      </c>
      <c r="M54" s="513"/>
      <c r="N54" s="505">
        <f t="shared" si="5"/>
        <v>0</v>
      </c>
      <c r="O54" s="505">
        <f t="shared" si="6"/>
        <v>0</v>
      </c>
      <c r="P54" s="279"/>
    </row>
    <row r="55" spans="2:16" ht="12.5">
      <c r="B55" s="145" t="str">
        <f t="shared" si="0"/>
        <v/>
      </c>
      <c r="C55" s="496">
        <f>IF(D11="","-",+C54+1)</f>
        <v>2056</v>
      </c>
      <c r="D55" s="509">
        <f>IF(F54+SUM(E$17:E54)=D$10,F54,D$10-SUM(E$17:E54))</f>
        <v>0</v>
      </c>
      <c r="E55" s="510">
        <f t="shared" si="14"/>
        <v>0</v>
      </c>
      <c r="F55" s="511">
        <f t="shared" si="15"/>
        <v>0</v>
      </c>
      <c r="G55" s="512">
        <f t="shared" si="16"/>
        <v>0</v>
      </c>
      <c r="H55" s="478">
        <f t="shared" si="17"/>
        <v>0</v>
      </c>
      <c r="I55" s="501">
        <f t="shared" si="1"/>
        <v>0</v>
      </c>
      <c r="J55" s="501"/>
      <c r="K55" s="513"/>
      <c r="L55" s="505">
        <f t="shared" si="3"/>
        <v>0</v>
      </c>
      <c r="M55" s="513"/>
      <c r="N55" s="505">
        <f t="shared" si="5"/>
        <v>0</v>
      </c>
      <c r="O55" s="505">
        <f t="shared" si="6"/>
        <v>0</v>
      </c>
      <c r="P55" s="279"/>
    </row>
    <row r="56" spans="2:16" ht="12.5">
      <c r="B56" s="145" t="str">
        <f t="shared" si="0"/>
        <v/>
      </c>
      <c r="C56" s="496">
        <f>IF(D11="","-",+C55+1)</f>
        <v>2057</v>
      </c>
      <c r="D56" s="509">
        <f>IF(F55+SUM(E$17:E55)=D$10,F55,D$10-SUM(E$17:E55))</f>
        <v>0</v>
      </c>
      <c r="E56" s="510">
        <f t="shared" si="14"/>
        <v>0</v>
      </c>
      <c r="F56" s="511">
        <f t="shared" si="15"/>
        <v>0</v>
      </c>
      <c r="G56" s="512">
        <f t="shared" si="16"/>
        <v>0</v>
      </c>
      <c r="H56" s="478">
        <f t="shared" si="17"/>
        <v>0</v>
      </c>
      <c r="I56" s="501">
        <f t="shared" si="1"/>
        <v>0</v>
      </c>
      <c r="J56" s="501"/>
      <c r="K56" s="513"/>
      <c r="L56" s="505">
        <f t="shared" si="3"/>
        <v>0</v>
      </c>
      <c r="M56" s="513"/>
      <c r="N56" s="505">
        <f t="shared" si="5"/>
        <v>0</v>
      </c>
      <c r="O56" s="505">
        <f t="shared" si="6"/>
        <v>0</v>
      </c>
      <c r="P56" s="279"/>
    </row>
    <row r="57" spans="2:16" ht="12.5">
      <c r="B57" s="145" t="str">
        <f t="shared" si="0"/>
        <v/>
      </c>
      <c r="C57" s="496">
        <f>IF(D11="","-",+C56+1)</f>
        <v>2058</v>
      </c>
      <c r="D57" s="509">
        <f>IF(F56+SUM(E$17:E56)=D$10,F56,D$10-SUM(E$17:E56))</f>
        <v>0</v>
      </c>
      <c r="E57" s="510">
        <f t="shared" si="14"/>
        <v>0</v>
      </c>
      <c r="F57" s="511">
        <f t="shared" si="15"/>
        <v>0</v>
      </c>
      <c r="G57" s="512">
        <f t="shared" si="16"/>
        <v>0</v>
      </c>
      <c r="H57" s="478">
        <f t="shared" si="17"/>
        <v>0</v>
      </c>
      <c r="I57" s="501">
        <f t="shared" si="1"/>
        <v>0</v>
      </c>
      <c r="J57" s="501"/>
      <c r="K57" s="513"/>
      <c r="L57" s="505">
        <f t="shared" si="3"/>
        <v>0</v>
      </c>
      <c r="M57" s="513"/>
      <c r="N57" s="505">
        <f t="shared" si="5"/>
        <v>0</v>
      </c>
      <c r="O57" s="505">
        <f t="shared" si="6"/>
        <v>0</v>
      </c>
      <c r="P57" s="279"/>
    </row>
    <row r="58" spans="2:16" ht="12.5">
      <c r="B58" s="145" t="str">
        <f t="shared" si="0"/>
        <v/>
      </c>
      <c r="C58" s="496">
        <f>IF(D11="","-",+C57+1)</f>
        <v>2059</v>
      </c>
      <c r="D58" s="509">
        <f>IF(F57+SUM(E$17:E57)=D$10,F57,D$10-SUM(E$17:E57))</f>
        <v>0</v>
      </c>
      <c r="E58" s="510">
        <f t="shared" si="14"/>
        <v>0</v>
      </c>
      <c r="F58" s="511">
        <f t="shared" si="15"/>
        <v>0</v>
      </c>
      <c r="G58" s="512">
        <f t="shared" si="16"/>
        <v>0</v>
      </c>
      <c r="H58" s="478">
        <f t="shared" si="17"/>
        <v>0</v>
      </c>
      <c r="I58" s="501">
        <f t="shared" si="1"/>
        <v>0</v>
      </c>
      <c r="J58" s="501"/>
      <c r="K58" s="513"/>
      <c r="L58" s="505">
        <f t="shared" si="3"/>
        <v>0</v>
      </c>
      <c r="M58" s="513"/>
      <c r="N58" s="505">
        <f t="shared" si="5"/>
        <v>0</v>
      </c>
      <c r="O58" s="505">
        <f t="shared" si="6"/>
        <v>0</v>
      </c>
      <c r="P58" s="279"/>
    </row>
    <row r="59" spans="2:16" ht="12.5">
      <c r="B59" s="145" t="str">
        <f t="shared" si="0"/>
        <v/>
      </c>
      <c r="C59" s="496">
        <f>IF(D11="","-",+C58+1)</f>
        <v>2060</v>
      </c>
      <c r="D59" s="509">
        <f>IF(F58+SUM(E$17:E58)=D$10,F58,D$10-SUM(E$17:E58))</f>
        <v>0</v>
      </c>
      <c r="E59" s="510">
        <f t="shared" si="14"/>
        <v>0</v>
      </c>
      <c r="F59" s="511">
        <f t="shared" si="15"/>
        <v>0</v>
      </c>
      <c r="G59" s="512">
        <f t="shared" si="16"/>
        <v>0</v>
      </c>
      <c r="H59" s="478">
        <f t="shared" si="17"/>
        <v>0</v>
      </c>
      <c r="I59" s="501">
        <f t="shared" si="1"/>
        <v>0</v>
      </c>
      <c r="J59" s="501"/>
      <c r="K59" s="513"/>
      <c r="L59" s="505">
        <f t="shared" si="3"/>
        <v>0</v>
      </c>
      <c r="M59" s="513"/>
      <c r="N59" s="505">
        <f t="shared" si="5"/>
        <v>0</v>
      </c>
      <c r="O59" s="505">
        <f t="shared" si="6"/>
        <v>0</v>
      </c>
      <c r="P59" s="279"/>
    </row>
    <row r="60" spans="2:16" ht="12.5">
      <c r="B60" s="145" t="str">
        <f t="shared" si="0"/>
        <v/>
      </c>
      <c r="C60" s="496">
        <f>IF(D11="","-",+C59+1)</f>
        <v>2061</v>
      </c>
      <c r="D60" s="509">
        <f>IF(F59+SUM(E$17:E59)=D$10,F59,D$10-SUM(E$17:E59))</f>
        <v>0</v>
      </c>
      <c r="E60" s="510">
        <f t="shared" si="14"/>
        <v>0</v>
      </c>
      <c r="F60" s="511">
        <f t="shared" si="15"/>
        <v>0</v>
      </c>
      <c r="G60" s="512">
        <f t="shared" si="16"/>
        <v>0</v>
      </c>
      <c r="H60" s="478">
        <f t="shared" si="17"/>
        <v>0</v>
      </c>
      <c r="I60" s="501">
        <f t="shared" si="1"/>
        <v>0</v>
      </c>
      <c r="J60" s="501"/>
      <c r="K60" s="513"/>
      <c r="L60" s="505">
        <f t="shared" si="3"/>
        <v>0</v>
      </c>
      <c r="M60" s="513"/>
      <c r="N60" s="505">
        <f t="shared" si="5"/>
        <v>0</v>
      </c>
      <c r="O60" s="505">
        <f t="shared" si="6"/>
        <v>0</v>
      </c>
      <c r="P60" s="279"/>
    </row>
    <row r="61" spans="2:16" ht="12.5">
      <c r="B61" s="145" t="str">
        <f t="shared" si="0"/>
        <v/>
      </c>
      <c r="C61" s="496">
        <f>IF(D11="","-",+C60+1)</f>
        <v>2062</v>
      </c>
      <c r="D61" s="509">
        <f>IF(F60+SUM(E$17:E60)=D$10,F60,D$10-SUM(E$17:E60))</f>
        <v>0</v>
      </c>
      <c r="E61" s="510">
        <f t="shared" si="14"/>
        <v>0</v>
      </c>
      <c r="F61" s="511">
        <f t="shared" si="15"/>
        <v>0</v>
      </c>
      <c r="G61" s="524">
        <f t="shared" si="16"/>
        <v>0</v>
      </c>
      <c r="H61" s="478">
        <f t="shared" si="17"/>
        <v>0</v>
      </c>
      <c r="I61" s="501">
        <f t="shared" si="1"/>
        <v>0</v>
      </c>
      <c r="J61" s="501"/>
      <c r="K61" s="513"/>
      <c r="L61" s="505">
        <f t="shared" si="3"/>
        <v>0</v>
      </c>
      <c r="M61" s="513"/>
      <c r="N61" s="505">
        <f t="shared" si="5"/>
        <v>0</v>
      </c>
      <c r="O61" s="505">
        <f t="shared" si="6"/>
        <v>0</v>
      </c>
      <c r="P61" s="279"/>
    </row>
    <row r="62" spans="2:16" ht="12.5">
      <c r="B62" s="145" t="str">
        <f t="shared" si="0"/>
        <v/>
      </c>
      <c r="C62" s="496">
        <f>IF(D11="","-",+C61+1)</f>
        <v>2063</v>
      </c>
      <c r="D62" s="509">
        <f>IF(F61+SUM(E$17:E61)=D$10,F61,D$10-SUM(E$17:E61))</f>
        <v>0</v>
      </c>
      <c r="E62" s="510">
        <f t="shared" si="14"/>
        <v>0</v>
      </c>
      <c r="F62" s="511">
        <f t="shared" si="15"/>
        <v>0</v>
      </c>
      <c r="G62" s="524">
        <f t="shared" si="16"/>
        <v>0</v>
      </c>
      <c r="H62" s="478">
        <f t="shared" si="17"/>
        <v>0</v>
      </c>
      <c r="I62" s="501">
        <f t="shared" si="1"/>
        <v>0</v>
      </c>
      <c r="J62" s="501"/>
      <c r="K62" s="513"/>
      <c r="L62" s="505">
        <f t="shared" si="3"/>
        <v>0</v>
      </c>
      <c r="M62" s="513"/>
      <c r="N62" s="505">
        <f t="shared" si="5"/>
        <v>0</v>
      </c>
      <c r="O62" s="505">
        <f t="shared" si="6"/>
        <v>0</v>
      </c>
      <c r="P62" s="279"/>
    </row>
    <row r="63" spans="2:16" ht="12.5">
      <c r="B63" s="145" t="str">
        <f t="shared" si="0"/>
        <v/>
      </c>
      <c r="C63" s="496">
        <f>IF(D11="","-",+C62+1)</f>
        <v>2064</v>
      </c>
      <c r="D63" s="509">
        <f>IF(F62+SUM(E$17:E62)=D$10,F62,D$10-SUM(E$17:E62))</f>
        <v>0</v>
      </c>
      <c r="E63" s="510">
        <f t="shared" si="14"/>
        <v>0</v>
      </c>
      <c r="F63" s="511">
        <f t="shared" si="15"/>
        <v>0</v>
      </c>
      <c r="G63" s="524">
        <f t="shared" si="16"/>
        <v>0</v>
      </c>
      <c r="H63" s="478">
        <f t="shared" si="17"/>
        <v>0</v>
      </c>
      <c r="I63" s="501">
        <f t="shared" si="1"/>
        <v>0</v>
      </c>
      <c r="J63" s="501"/>
      <c r="K63" s="513"/>
      <c r="L63" s="505">
        <f t="shared" si="3"/>
        <v>0</v>
      </c>
      <c r="M63" s="513"/>
      <c r="N63" s="505">
        <f t="shared" si="5"/>
        <v>0</v>
      </c>
      <c r="O63" s="505">
        <f t="shared" si="6"/>
        <v>0</v>
      </c>
      <c r="P63" s="279"/>
    </row>
    <row r="64" spans="2:16" ht="12.5">
      <c r="B64" s="145" t="str">
        <f t="shared" si="0"/>
        <v/>
      </c>
      <c r="C64" s="496">
        <f>IF(D11="","-",+C63+1)</f>
        <v>2065</v>
      </c>
      <c r="D64" s="509">
        <f>IF(F63+SUM(E$17:E63)=D$10,F63,D$10-SUM(E$17:E63))</f>
        <v>0</v>
      </c>
      <c r="E64" s="510">
        <f t="shared" si="14"/>
        <v>0</v>
      </c>
      <c r="F64" s="511">
        <f t="shared" si="15"/>
        <v>0</v>
      </c>
      <c r="G64" s="524">
        <f t="shared" si="16"/>
        <v>0</v>
      </c>
      <c r="H64" s="478">
        <f t="shared" si="17"/>
        <v>0</v>
      </c>
      <c r="I64" s="501">
        <f t="shared" si="1"/>
        <v>0</v>
      </c>
      <c r="J64" s="501"/>
      <c r="K64" s="513"/>
      <c r="L64" s="505">
        <f t="shared" si="3"/>
        <v>0</v>
      </c>
      <c r="M64" s="513"/>
      <c r="N64" s="505">
        <f t="shared" si="5"/>
        <v>0</v>
      </c>
      <c r="O64" s="505">
        <f t="shared" si="6"/>
        <v>0</v>
      </c>
      <c r="P64" s="279"/>
    </row>
    <row r="65" spans="2:16" ht="12.5">
      <c r="B65" s="145" t="str">
        <f t="shared" si="0"/>
        <v/>
      </c>
      <c r="C65" s="496">
        <f>IF(D11="","-",+C64+1)</f>
        <v>2066</v>
      </c>
      <c r="D65" s="509">
        <f>IF(F64+SUM(E$17:E64)=D$10,F64,D$10-SUM(E$17:E64))</f>
        <v>0</v>
      </c>
      <c r="E65" s="510">
        <f t="shared" si="14"/>
        <v>0</v>
      </c>
      <c r="F65" s="511">
        <f t="shared" si="15"/>
        <v>0</v>
      </c>
      <c r="G65" s="524">
        <f t="shared" si="16"/>
        <v>0</v>
      </c>
      <c r="H65" s="478">
        <f t="shared" si="17"/>
        <v>0</v>
      </c>
      <c r="I65" s="501">
        <f t="shared" si="1"/>
        <v>0</v>
      </c>
      <c r="J65" s="501"/>
      <c r="K65" s="513"/>
      <c r="L65" s="505">
        <f t="shared" si="3"/>
        <v>0</v>
      </c>
      <c r="M65" s="513"/>
      <c r="N65" s="505">
        <f t="shared" si="5"/>
        <v>0</v>
      </c>
      <c r="O65" s="505">
        <f t="shared" si="6"/>
        <v>0</v>
      </c>
      <c r="P65" s="279"/>
    </row>
    <row r="66" spans="2:16" ht="12.5">
      <c r="B66" s="145" t="str">
        <f t="shared" si="0"/>
        <v/>
      </c>
      <c r="C66" s="496">
        <f>IF(D11="","-",+C65+1)</f>
        <v>2067</v>
      </c>
      <c r="D66" s="509">
        <f>IF(F65+SUM(E$17:E65)=D$10,F65,D$10-SUM(E$17:E65))</f>
        <v>0</v>
      </c>
      <c r="E66" s="510">
        <f t="shared" si="14"/>
        <v>0</v>
      </c>
      <c r="F66" s="511">
        <f t="shared" si="15"/>
        <v>0</v>
      </c>
      <c r="G66" s="524">
        <f t="shared" si="16"/>
        <v>0</v>
      </c>
      <c r="H66" s="478">
        <f t="shared" si="17"/>
        <v>0</v>
      </c>
      <c r="I66" s="501">
        <f t="shared" si="1"/>
        <v>0</v>
      </c>
      <c r="J66" s="501"/>
      <c r="K66" s="513"/>
      <c r="L66" s="505">
        <f t="shared" si="3"/>
        <v>0</v>
      </c>
      <c r="M66" s="513"/>
      <c r="N66" s="505">
        <f t="shared" si="5"/>
        <v>0</v>
      </c>
      <c r="O66" s="505">
        <f t="shared" si="6"/>
        <v>0</v>
      </c>
      <c r="P66" s="279"/>
    </row>
    <row r="67" spans="2:16" ht="12.5">
      <c r="B67" s="145" t="str">
        <f t="shared" si="0"/>
        <v/>
      </c>
      <c r="C67" s="496">
        <f>IF(D11="","-",+C66+1)</f>
        <v>2068</v>
      </c>
      <c r="D67" s="509">
        <f>IF(F66+SUM(E$17:E66)=D$10,F66,D$10-SUM(E$17:E66))</f>
        <v>0</v>
      </c>
      <c r="E67" s="510">
        <f t="shared" si="14"/>
        <v>0</v>
      </c>
      <c r="F67" s="511">
        <f t="shared" si="15"/>
        <v>0</v>
      </c>
      <c r="G67" s="524">
        <f t="shared" si="16"/>
        <v>0</v>
      </c>
      <c r="H67" s="478">
        <f t="shared" si="17"/>
        <v>0</v>
      </c>
      <c r="I67" s="501">
        <f t="shared" si="1"/>
        <v>0</v>
      </c>
      <c r="J67" s="501"/>
      <c r="K67" s="513"/>
      <c r="L67" s="505">
        <f t="shared" si="3"/>
        <v>0</v>
      </c>
      <c r="M67" s="513"/>
      <c r="N67" s="505">
        <f t="shared" si="5"/>
        <v>0</v>
      </c>
      <c r="O67" s="505">
        <f t="shared" si="6"/>
        <v>0</v>
      </c>
      <c r="P67" s="279"/>
    </row>
    <row r="68" spans="2:16" ht="12.5">
      <c r="B68" s="145" t="str">
        <f t="shared" si="0"/>
        <v/>
      </c>
      <c r="C68" s="496">
        <f>IF(D11="","-",+C67+1)</f>
        <v>2069</v>
      </c>
      <c r="D68" s="509">
        <f>IF(F67+SUM(E$17:E67)=D$10,F67,D$10-SUM(E$17:E67))</f>
        <v>0</v>
      </c>
      <c r="E68" s="510">
        <f t="shared" si="14"/>
        <v>0</v>
      </c>
      <c r="F68" s="511">
        <f t="shared" si="15"/>
        <v>0</v>
      </c>
      <c r="G68" s="524">
        <f t="shared" si="16"/>
        <v>0</v>
      </c>
      <c r="H68" s="478">
        <f t="shared" si="17"/>
        <v>0</v>
      </c>
      <c r="I68" s="501">
        <f t="shared" si="1"/>
        <v>0</v>
      </c>
      <c r="J68" s="501"/>
      <c r="K68" s="513"/>
      <c r="L68" s="505">
        <f t="shared" si="3"/>
        <v>0</v>
      </c>
      <c r="M68" s="513"/>
      <c r="N68" s="505">
        <f t="shared" si="5"/>
        <v>0</v>
      </c>
      <c r="O68" s="505">
        <f t="shared" si="6"/>
        <v>0</v>
      </c>
      <c r="P68" s="279"/>
    </row>
    <row r="69" spans="2:16" ht="12.5">
      <c r="B69" s="145" t="str">
        <f t="shared" si="0"/>
        <v/>
      </c>
      <c r="C69" s="496">
        <f>IF(D11="","-",+C68+1)</f>
        <v>2070</v>
      </c>
      <c r="D69" s="509">
        <f>IF(F68+SUM(E$17:E68)=D$10,F68,D$10-SUM(E$17:E68))</f>
        <v>0</v>
      </c>
      <c r="E69" s="510">
        <f t="shared" si="14"/>
        <v>0</v>
      </c>
      <c r="F69" s="511">
        <f t="shared" si="15"/>
        <v>0</v>
      </c>
      <c r="G69" s="524">
        <f t="shared" si="16"/>
        <v>0</v>
      </c>
      <c r="H69" s="478">
        <f t="shared" si="17"/>
        <v>0</v>
      </c>
      <c r="I69" s="501">
        <f t="shared" si="1"/>
        <v>0</v>
      </c>
      <c r="J69" s="501"/>
      <c r="K69" s="513"/>
      <c r="L69" s="505">
        <f t="shared" si="3"/>
        <v>0</v>
      </c>
      <c r="M69" s="513"/>
      <c r="N69" s="505">
        <f t="shared" si="5"/>
        <v>0</v>
      </c>
      <c r="O69" s="505">
        <f t="shared" si="6"/>
        <v>0</v>
      </c>
      <c r="P69" s="279"/>
    </row>
    <row r="70" spans="2:16" ht="12.5">
      <c r="B70" s="145" t="str">
        <f t="shared" si="0"/>
        <v/>
      </c>
      <c r="C70" s="496">
        <f>IF(D11="","-",+C69+1)</f>
        <v>2071</v>
      </c>
      <c r="D70" s="509">
        <f>IF(F69+SUM(E$17:E69)=D$10,F69,D$10-SUM(E$17:E69))</f>
        <v>0</v>
      </c>
      <c r="E70" s="510">
        <f t="shared" si="14"/>
        <v>0</v>
      </c>
      <c r="F70" s="511">
        <f t="shared" si="15"/>
        <v>0</v>
      </c>
      <c r="G70" s="524">
        <f t="shared" si="16"/>
        <v>0</v>
      </c>
      <c r="H70" s="478">
        <f t="shared" si="17"/>
        <v>0</v>
      </c>
      <c r="I70" s="501">
        <f t="shared" si="1"/>
        <v>0</v>
      </c>
      <c r="J70" s="501"/>
      <c r="K70" s="513"/>
      <c r="L70" s="505">
        <f t="shared" si="3"/>
        <v>0</v>
      </c>
      <c r="M70" s="513"/>
      <c r="N70" s="505">
        <f t="shared" si="5"/>
        <v>0</v>
      </c>
      <c r="O70" s="505">
        <f t="shared" si="6"/>
        <v>0</v>
      </c>
      <c r="P70" s="279"/>
    </row>
    <row r="71" spans="2:16" ht="12.5">
      <c r="B71" s="145" t="str">
        <f t="shared" si="0"/>
        <v/>
      </c>
      <c r="C71" s="496">
        <f>IF(D11="","-",+C70+1)</f>
        <v>2072</v>
      </c>
      <c r="D71" s="509">
        <f>IF(F70+SUM(E$17:E70)=D$10,F70,D$10-SUM(E$17:E70))</f>
        <v>0</v>
      </c>
      <c r="E71" s="510">
        <f t="shared" si="14"/>
        <v>0</v>
      </c>
      <c r="F71" s="511">
        <f t="shared" si="15"/>
        <v>0</v>
      </c>
      <c r="G71" s="524">
        <f t="shared" si="16"/>
        <v>0</v>
      </c>
      <c r="H71" s="478">
        <f t="shared" si="17"/>
        <v>0</v>
      </c>
      <c r="I71" s="501">
        <f t="shared" si="1"/>
        <v>0</v>
      </c>
      <c r="J71" s="501"/>
      <c r="K71" s="513"/>
      <c r="L71" s="505">
        <f t="shared" si="3"/>
        <v>0</v>
      </c>
      <c r="M71" s="513"/>
      <c r="N71" s="505">
        <f t="shared" si="5"/>
        <v>0</v>
      </c>
      <c r="O71" s="505">
        <f t="shared" si="6"/>
        <v>0</v>
      </c>
      <c r="P71" s="279"/>
    </row>
    <row r="72" spans="2:16" ht="12.5">
      <c r="C72" s="496">
        <f>IF(D12="","-",+C71+1)</f>
        <v>2073</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2074</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8934664.3900000043</v>
      </c>
      <c r="F74" s="295"/>
      <c r="G74" s="295">
        <f>SUM(G17:G73)</f>
        <v>25986140.312927324</v>
      </c>
      <c r="H74" s="295">
        <f>SUM(H17:H73)</f>
        <v>25986140.312927324</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19 of 23</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2023</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1160281.6090501249</v>
      </c>
      <c r="N88" s="545">
        <f>IF(J93&lt;D11,0,VLOOKUP(J93,C17:O73,11))</f>
        <v>1160281.6090501249</v>
      </c>
      <c r="O88" s="546">
        <f>+N88-M88</f>
        <v>0</v>
      </c>
      <c r="P88" s="244"/>
    </row>
    <row r="89" spans="1:16" ht="15.5">
      <c r="C89" s="236"/>
      <c r="D89" s="293"/>
      <c r="E89" s="244"/>
      <c r="F89" s="244"/>
      <c r="G89" s="244"/>
      <c r="H89" s="244"/>
      <c r="I89" s="450"/>
      <c r="J89" s="450"/>
      <c r="K89" s="547"/>
      <c r="L89" s="548" t="s">
        <v>254</v>
      </c>
      <c r="M89" s="549">
        <f>IF(J93&lt;D11,0,VLOOKUP(J93,C100:P155,6))</f>
        <v>1258677.2174985358</v>
      </c>
      <c r="N89" s="549">
        <f>IF(J93&lt;D11,0,VLOOKUP(J93,C100:P155,7))</f>
        <v>1258677.2174985358</v>
      </c>
      <c r="O89" s="550">
        <f>+N89-M89</f>
        <v>0</v>
      </c>
      <c r="P89" s="244"/>
    </row>
    <row r="90" spans="1:16" ht="13.5" thickBot="1">
      <c r="C90" s="455" t="s">
        <v>82</v>
      </c>
      <c r="D90" s="551" t="str">
        <f>+D7</f>
        <v>Duncan-Comanche Tap 69 KV Rebuild</v>
      </c>
      <c r="E90" s="244"/>
      <c r="F90" s="244"/>
      <c r="G90" s="244"/>
      <c r="H90" s="244"/>
      <c r="I90" s="326"/>
      <c r="J90" s="326"/>
      <c r="K90" s="552"/>
      <c r="L90" s="553" t="s">
        <v>135</v>
      </c>
      <c r="M90" s="554">
        <f>+M89-M88</f>
        <v>98395.608448410872</v>
      </c>
      <c r="N90" s="554">
        <f>+N89-N88</f>
        <v>98395.608448410872</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 2015191</v>
      </c>
      <c r="E92" s="559"/>
      <c r="F92" s="559"/>
      <c r="G92" s="559"/>
      <c r="H92" s="559"/>
      <c r="I92" s="559"/>
      <c r="J92" s="559"/>
      <c r="K92" s="561"/>
      <c r="P92" s="469"/>
    </row>
    <row r="93" spans="1:16" ht="13">
      <c r="C93" s="473" t="s">
        <v>49</v>
      </c>
      <c r="D93" s="475">
        <f>D10</f>
        <v>8934664.3900000006</v>
      </c>
      <c r="E93" s="249" t="s">
        <v>84</v>
      </c>
      <c r="H93" s="409"/>
      <c r="I93" s="409"/>
      <c r="J93" s="472">
        <f>+'OKT.WS.G.BPU.ATRR.True-up'!M16</f>
        <v>2023</v>
      </c>
      <c r="K93" s="468"/>
      <c r="L93" s="295" t="s">
        <v>85</v>
      </c>
      <c r="P93" s="279"/>
    </row>
    <row r="94" spans="1:16" ht="12.5">
      <c r="C94" s="473" t="s">
        <v>52</v>
      </c>
      <c r="D94" s="562">
        <f>IF(D11="","",D11)</f>
        <v>2018</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562">
        <f>IF(D12="","",D12)</f>
        <v>5</v>
      </c>
      <c r="E95" s="473" t="s">
        <v>55</v>
      </c>
      <c r="F95" s="409"/>
      <c r="G95" s="409"/>
      <c r="J95" s="477">
        <f>'OKT.WS.G.BPU.ATRR.True-up'!$F$81</f>
        <v>0.10963416019310859</v>
      </c>
      <c r="K95" s="414"/>
      <c r="L95" s="145" t="s">
        <v>86</v>
      </c>
      <c r="P95" s="279"/>
    </row>
    <row r="96" spans="1:16" ht="12.5">
      <c r="C96" s="473" t="s">
        <v>57</v>
      </c>
      <c r="D96" s="475">
        <f>'OKT.WS.G.BPU.ATRR.True-up'!F$93</f>
        <v>19</v>
      </c>
      <c r="E96" s="473" t="s">
        <v>58</v>
      </c>
      <c r="F96" s="409"/>
      <c r="G96" s="409"/>
      <c r="J96" s="477">
        <f>IF(H88="",J95,'OKT.WS.G.BPU.ATRR.True-up'!$F$80)</f>
        <v>0.10963416019310859</v>
      </c>
      <c r="K96" s="292"/>
      <c r="L96" s="295" t="s">
        <v>59</v>
      </c>
      <c r="M96" s="292"/>
      <c r="N96" s="292"/>
      <c r="O96" s="292"/>
      <c r="P96" s="279"/>
    </row>
    <row r="97" spans="1:16" ht="13" thickBot="1">
      <c r="C97" s="473" t="s">
        <v>60</v>
      </c>
      <c r="D97" s="563" t="str">
        <f>+D14</f>
        <v>No</v>
      </c>
      <c r="E97" s="564" t="s">
        <v>62</v>
      </c>
      <c r="F97" s="565"/>
      <c r="G97" s="565"/>
      <c r="H97" s="566"/>
      <c r="I97" s="566"/>
      <c r="J97" s="459">
        <f>IF(D93=0,0,D93/D96)</f>
        <v>470245.49421052635</v>
      </c>
      <c r="K97" s="295"/>
      <c r="L97" s="295"/>
      <c r="M97" s="295"/>
      <c r="N97" s="295"/>
      <c r="O97" s="295"/>
      <c r="P97" s="279"/>
    </row>
    <row r="98" spans="1:16" ht="39">
      <c r="A98" s="382"/>
      <c r="B98" s="382"/>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ht="12.5">
      <c r="B100" s="145" t="str">
        <f t="shared" ref="B100:B155" si="18">IF(D100=F99,"","IU")</f>
        <v>IU</v>
      </c>
      <c r="C100" s="496">
        <f>IF(D94= "","-",D94)</f>
        <v>2018</v>
      </c>
      <c r="D100" s="497">
        <v>0</v>
      </c>
      <c r="E100" s="499">
        <v>157935.97979797979</v>
      </c>
      <c r="F100" s="506">
        <v>8776728.0202020202</v>
      </c>
      <c r="G100" s="506">
        <v>4388364.0101010101</v>
      </c>
      <c r="H100" s="499">
        <v>631919.77960959531</v>
      </c>
      <c r="I100" s="500">
        <v>631919.77960959531</v>
      </c>
      <c r="J100" s="505">
        <f t="shared" ref="J100:J131" si="19">+I100-H100</f>
        <v>0</v>
      </c>
      <c r="K100" s="505"/>
      <c r="L100" s="507">
        <f>+H100</f>
        <v>631919.77960959531</v>
      </c>
      <c r="M100" s="505">
        <f t="shared" ref="M100" si="20">IF(L100&lt;&gt;0,+H100-L100,0)</f>
        <v>0</v>
      </c>
      <c r="N100" s="507">
        <f>+I100</f>
        <v>631919.77960959531</v>
      </c>
      <c r="O100" s="587">
        <f t="shared" ref="O100:O101" si="21">IF(N100&lt;&gt;0,+I100-N100,0)</f>
        <v>0</v>
      </c>
      <c r="P100" s="505">
        <f t="shared" ref="P100" si="22">+O100-M100</f>
        <v>0</v>
      </c>
    </row>
    <row r="101" spans="1:16" ht="12.5">
      <c r="B101" s="145" t="str">
        <f t="shared" si="18"/>
        <v>IU</v>
      </c>
      <c r="C101" s="496">
        <f>IF(D94="","-",+C100+1)</f>
        <v>2019</v>
      </c>
      <c r="D101" s="497">
        <v>8934664</v>
      </c>
      <c r="E101" s="499">
        <v>248185.11111111112</v>
      </c>
      <c r="F101" s="506">
        <v>8686478.8888888881</v>
      </c>
      <c r="G101" s="506">
        <v>8810571.444444444</v>
      </c>
      <c r="H101" s="499">
        <v>1178250.6107491101</v>
      </c>
      <c r="I101" s="500">
        <v>1178250.6107491101</v>
      </c>
      <c r="J101" s="505">
        <f t="shared" si="19"/>
        <v>0</v>
      </c>
      <c r="K101" s="505"/>
      <c r="L101" s="507">
        <f>H101</f>
        <v>1178250.6107491101</v>
      </c>
      <c r="M101" s="505">
        <f>IF(L101&lt;&gt;0,+H101-L101,0)</f>
        <v>0</v>
      </c>
      <c r="N101" s="507">
        <f>I101</f>
        <v>1178250.6107491101</v>
      </c>
      <c r="O101" s="505">
        <f t="shared" si="21"/>
        <v>0</v>
      </c>
      <c r="P101" s="505">
        <f>+O101-M101</f>
        <v>0</v>
      </c>
    </row>
    <row r="102" spans="1:16" ht="12.5">
      <c r="B102" s="145" t="str">
        <f t="shared" si="18"/>
        <v>IU</v>
      </c>
      <c r="C102" s="496">
        <f>IF(D94="","-",+C101+1)</f>
        <v>2020</v>
      </c>
      <c r="D102" s="497">
        <v>8528542.9090909082</v>
      </c>
      <c r="E102" s="499">
        <v>319095.14285714284</v>
      </c>
      <c r="F102" s="506">
        <v>8209447.7662337655</v>
      </c>
      <c r="G102" s="506">
        <v>8368995.3376623373</v>
      </c>
      <c r="H102" s="499">
        <v>1209669.2196039241</v>
      </c>
      <c r="I102" s="500">
        <v>1209669.2196039241</v>
      </c>
      <c r="J102" s="505">
        <f t="shared" si="19"/>
        <v>0</v>
      </c>
      <c r="K102" s="505"/>
      <c r="L102" s="507">
        <f>H102</f>
        <v>1209669.2196039241</v>
      </c>
      <c r="M102" s="505">
        <f>IF(L102&lt;&gt;0,+H102-L102,0)</f>
        <v>0</v>
      </c>
      <c r="N102" s="507">
        <f>I102</f>
        <v>1209669.2196039241</v>
      </c>
      <c r="O102" s="505">
        <f t="shared" ref="O102" si="23">IF(N102&lt;&gt;0,+I102-N102,0)</f>
        <v>0</v>
      </c>
      <c r="P102" s="505">
        <f>+O102-M102</f>
        <v>0</v>
      </c>
    </row>
    <row r="103" spans="1:16" ht="12.5">
      <c r="B103" s="145" t="str">
        <f t="shared" si="18"/>
        <v/>
      </c>
      <c r="C103" s="496">
        <f>IF(D94="","-",+C102+1)</f>
        <v>2021</v>
      </c>
      <c r="D103" s="497">
        <v>8209447.7662337655</v>
      </c>
      <c r="E103" s="499">
        <v>357386.56</v>
      </c>
      <c r="F103" s="506">
        <v>7852061.2062337659</v>
      </c>
      <c r="G103" s="506">
        <v>8030754.4862337653</v>
      </c>
      <c r="H103" s="499">
        <v>1304710.5262002475</v>
      </c>
      <c r="I103" s="500">
        <v>1304710.5262002475</v>
      </c>
      <c r="J103" s="505">
        <f t="shared" si="19"/>
        <v>0</v>
      </c>
      <c r="K103" s="505"/>
      <c r="L103" s="507">
        <f>H103</f>
        <v>1304710.5262002475</v>
      </c>
      <c r="M103" s="505">
        <f>IF(L103&lt;&gt;0,+H103-L103,0)</f>
        <v>0</v>
      </c>
      <c r="N103" s="507">
        <f>I103</f>
        <v>1304710.5262002475</v>
      </c>
      <c r="O103" s="505">
        <f t="shared" ref="O103:O131" si="24">IF(N103&lt;&gt;0,+I103-N103,0)</f>
        <v>0</v>
      </c>
      <c r="P103" s="505">
        <f t="shared" ref="P103:P131" si="25">+O103-M103</f>
        <v>0</v>
      </c>
    </row>
    <row r="104" spans="1:16" ht="12.5">
      <c r="B104" s="145" t="str">
        <f t="shared" si="18"/>
        <v/>
      </c>
      <c r="C104" s="496">
        <f>IF(D94="","-",+C103+1)</f>
        <v>2022</v>
      </c>
      <c r="D104" s="497">
        <v>7852061.2062337659</v>
      </c>
      <c r="E104" s="499">
        <v>425460.19047619047</v>
      </c>
      <c r="F104" s="506">
        <v>7426601.0157575756</v>
      </c>
      <c r="G104" s="506">
        <v>7639331.1109956708</v>
      </c>
      <c r="H104" s="499">
        <v>1303723.6531878912</v>
      </c>
      <c r="I104" s="500">
        <v>1303723.6531878912</v>
      </c>
      <c r="J104" s="505">
        <f t="shared" si="19"/>
        <v>0</v>
      </c>
      <c r="K104" s="505"/>
      <c r="L104" s="507">
        <f>H104</f>
        <v>1303723.6531878912</v>
      </c>
      <c r="M104" s="505">
        <f>IF(L104&lt;&gt;0,+H104-L104,0)</f>
        <v>0</v>
      </c>
      <c r="N104" s="507">
        <f>I104</f>
        <v>1303723.6531878912</v>
      </c>
      <c r="O104" s="505">
        <f t="shared" ref="O104" si="26">IF(N104&lt;&gt;0,+I104-N104,0)</f>
        <v>0</v>
      </c>
      <c r="P104" s="505">
        <f t="shared" ref="P104" si="27">+O104-M104</f>
        <v>0</v>
      </c>
    </row>
    <row r="105" spans="1:16" ht="12.5">
      <c r="B105" s="145" t="str">
        <f t="shared" si="18"/>
        <v>IU</v>
      </c>
      <c r="C105" s="496">
        <f>IF(D94="","-",+C104+1)</f>
        <v>2023</v>
      </c>
      <c r="D105" s="350">
        <f>IF(F104+SUM(E$100:E104)=D$93,F104,D$93-SUM(E$100:E104))</f>
        <v>7426601.4057575762</v>
      </c>
      <c r="E105" s="510">
        <f t="shared" ref="E105:E155" si="28">IF(+J$97&lt;F104,J$97,D105)</f>
        <v>470245.49421052635</v>
      </c>
      <c r="F105" s="511">
        <f t="shared" ref="F105:F155" si="29">+D105-E105</f>
        <v>6956355.9115470499</v>
      </c>
      <c r="G105" s="511">
        <f t="shared" ref="G105:G155" si="30">+(F105+D105)/2</f>
        <v>7191478.6586523131</v>
      </c>
      <c r="H105" s="645">
        <f t="shared" ref="H105:H155" si="31">(D105+F105)/2*J$95+E105</f>
        <v>1258677.2174985358</v>
      </c>
      <c r="I105" s="628">
        <f t="shared" ref="I105:I155" si="32">+J$96*G105+E105</f>
        <v>1258677.2174985358</v>
      </c>
      <c r="J105" s="505">
        <f t="shared" si="19"/>
        <v>0</v>
      </c>
      <c r="K105" s="505"/>
      <c r="L105" s="513"/>
      <c r="M105" s="505">
        <f t="shared" ref="M105:M131" si="33">IF(L105&lt;&gt;0,+H105-L105,0)</f>
        <v>0</v>
      </c>
      <c r="N105" s="513"/>
      <c r="O105" s="505">
        <f t="shared" si="24"/>
        <v>0</v>
      </c>
      <c r="P105" s="505">
        <f t="shared" si="25"/>
        <v>0</v>
      </c>
    </row>
    <row r="106" spans="1:16" ht="12.5">
      <c r="B106" s="145" t="str">
        <f t="shared" si="18"/>
        <v/>
      </c>
      <c r="C106" s="496">
        <f>IF(D94="","-",+C105+1)</f>
        <v>2024</v>
      </c>
      <c r="D106" s="350">
        <f>IF(F105+SUM(E$100:E105)=D$93,F105,D$93-SUM(E$100:E105))</f>
        <v>6956355.9115470499</v>
      </c>
      <c r="E106" s="510">
        <f t="shared" si="28"/>
        <v>470245.49421052635</v>
      </c>
      <c r="F106" s="511">
        <f t="shared" si="29"/>
        <v>6486110.4173365235</v>
      </c>
      <c r="G106" s="511">
        <f t="shared" si="30"/>
        <v>6721233.1644417867</v>
      </c>
      <c r="H106" s="645">
        <f t="shared" si="31"/>
        <v>1207122.2476561712</v>
      </c>
      <c r="I106" s="628">
        <f t="shared" si="32"/>
        <v>1207122.2476561712</v>
      </c>
      <c r="J106" s="505">
        <f t="shared" si="19"/>
        <v>0</v>
      </c>
      <c r="K106" s="505"/>
      <c r="L106" s="513"/>
      <c r="M106" s="505">
        <f t="shared" si="33"/>
        <v>0</v>
      </c>
      <c r="N106" s="513"/>
      <c r="O106" s="505">
        <f t="shared" si="24"/>
        <v>0</v>
      </c>
      <c r="P106" s="505">
        <f t="shared" si="25"/>
        <v>0</v>
      </c>
    </row>
    <row r="107" spans="1:16" ht="12.5">
      <c r="B107" s="145" t="str">
        <f t="shared" si="18"/>
        <v/>
      </c>
      <c r="C107" s="496">
        <f>IF(D94="","-",+C106+1)</f>
        <v>2025</v>
      </c>
      <c r="D107" s="350">
        <f>IF(F106+SUM(E$100:E106)=D$93,F106,D$93-SUM(E$100:E106))</f>
        <v>6486110.4173365235</v>
      </c>
      <c r="E107" s="510">
        <f t="shared" si="28"/>
        <v>470245.49421052635</v>
      </c>
      <c r="F107" s="511">
        <f t="shared" si="29"/>
        <v>6015864.9231259972</v>
      </c>
      <c r="G107" s="511">
        <f t="shared" si="30"/>
        <v>6250987.6702312604</v>
      </c>
      <c r="H107" s="645">
        <f t="shared" si="31"/>
        <v>1155567.2778138071</v>
      </c>
      <c r="I107" s="628">
        <f t="shared" si="32"/>
        <v>1155567.2778138071</v>
      </c>
      <c r="J107" s="505">
        <f t="shared" si="19"/>
        <v>0</v>
      </c>
      <c r="K107" s="505"/>
      <c r="L107" s="513"/>
      <c r="M107" s="505">
        <f t="shared" si="33"/>
        <v>0</v>
      </c>
      <c r="N107" s="513"/>
      <c r="O107" s="505">
        <f t="shared" si="24"/>
        <v>0</v>
      </c>
      <c r="P107" s="505">
        <f t="shared" si="25"/>
        <v>0</v>
      </c>
    </row>
    <row r="108" spans="1:16" ht="12.5">
      <c r="B108" s="145" t="str">
        <f t="shared" si="18"/>
        <v/>
      </c>
      <c r="C108" s="496">
        <f>IF(D94="","-",+C107+1)</f>
        <v>2026</v>
      </c>
      <c r="D108" s="350">
        <f>IF(F107+SUM(E$100:E107)=D$93,F107,D$93-SUM(E$100:E107))</f>
        <v>6015864.9231259972</v>
      </c>
      <c r="E108" s="510">
        <f t="shared" si="28"/>
        <v>470245.49421052635</v>
      </c>
      <c r="F108" s="511">
        <f t="shared" si="29"/>
        <v>5545619.4289154708</v>
      </c>
      <c r="G108" s="511">
        <f t="shared" si="30"/>
        <v>5780742.176020734</v>
      </c>
      <c r="H108" s="645">
        <f t="shared" si="31"/>
        <v>1104012.3079714426</v>
      </c>
      <c r="I108" s="628">
        <f t="shared" si="32"/>
        <v>1104012.3079714426</v>
      </c>
      <c r="J108" s="505">
        <f t="shared" si="19"/>
        <v>0</v>
      </c>
      <c r="K108" s="505"/>
      <c r="L108" s="513"/>
      <c r="M108" s="505">
        <f t="shared" si="33"/>
        <v>0</v>
      </c>
      <c r="N108" s="513"/>
      <c r="O108" s="505">
        <f t="shared" si="24"/>
        <v>0</v>
      </c>
      <c r="P108" s="505">
        <f t="shared" si="25"/>
        <v>0</v>
      </c>
    </row>
    <row r="109" spans="1:16" ht="12.5">
      <c r="B109" s="145" t="str">
        <f t="shared" si="18"/>
        <v/>
      </c>
      <c r="C109" s="496">
        <f>IF(D94="","-",+C108+1)</f>
        <v>2027</v>
      </c>
      <c r="D109" s="350">
        <f>IF(F108+SUM(E$100:E108)=D$93,F108,D$93-SUM(E$100:E108))</f>
        <v>5545619.4289154708</v>
      </c>
      <c r="E109" s="510">
        <f t="shared" si="28"/>
        <v>470245.49421052635</v>
      </c>
      <c r="F109" s="511">
        <f t="shared" si="29"/>
        <v>5075373.9347049445</v>
      </c>
      <c r="G109" s="511">
        <f t="shared" si="30"/>
        <v>5310496.6818102077</v>
      </c>
      <c r="H109" s="645">
        <f t="shared" si="31"/>
        <v>1052457.3381290783</v>
      </c>
      <c r="I109" s="628">
        <f t="shared" si="32"/>
        <v>1052457.3381290783</v>
      </c>
      <c r="J109" s="505">
        <f t="shared" si="19"/>
        <v>0</v>
      </c>
      <c r="K109" s="505"/>
      <c r="L109" s="513"/>
      <c r="M109" s="505">
        <f t="shared" si="33"/>
        <v>0</v>
      </c>
      <c r="N109" s="513"/>
      <c r="O109" s="505">
        <f t="shared" si="24"/>
        <v>0</v>
      </c>
      <c r="P109" s="505">
        <f t="shared" si="25"/>
        <v>0</v>
      </c>
    </row>
    <row r="110" spans="1:16" ht="12.5">
      <c r="B110" s="145" t="str">
        <f t="shared" si="18"/>
        <v/>
      </c>
      <c r="C110" s="496">
        <f>IF(D94="","-",+C109+1)</f>
        <v>2028</v>
      </c>
      <c r="D110" s="350">
        <f>IF(F109+SUM(E$100:E109)=D$93,F109,D$93-SUM(E$100:E109))</f>
        <v>5075373.9347049445</v>
      </c>
      <c r="E110" s="510">
        <f t="shared" si="28"/>
        <v>470245.49421052635</v>
      </c>
      <c r="F110" s="511">
        <f t="shared" si="29"/>
        <v>4605128.4404944181</v>
      </c>
      <c r="G110" s="511">
        <f t="shared" si="30"/>
        <v>4840251.1875996813</v>
      </c>
      <c r="H110" s="645">
        <f t="shared" si="31"/>
        <v>1000902.368286714</v>
      </c>
      <c r="I110" s="628">
        <f t="shared" si="32"/>
        <v>1000902.368286714</v>
      </c>
      <c r="J110" s="505">
        <f t="shared" si="19"/>
        <v>0</v>
      </c>
      <c r="K110" s="505"/>
      <c r="L110" s="513"/>
      <c r="M110" s="505">
        <f t="shared" si="33"/>
        <v>0</v>
      </c>
      <c r="N110" s="513"/>
      <c r="O110" s="505">
        <f t="shared" si="24"/>
        <v>0</v>
      </c>
      <c r="P110" s="505">
        <f t="shared" si="25"/>
        <v>0</v>
      </c>
    </row>
    <row r="111" spans="1:16" ht="12.5">
      <c r="B111" s="145" t="str">
        <f t="shared" si="18"/>
        <v/>
      </c>
      <c r="C111" s="496">
        <f>IF(D94="","-",+C110+1)</f>
        <v>2029</v>
      </c>
      <c r="D111" s="350">
        <f>IF(F110+SUM(E$100:E110)=D$93,F110,D$93-SUM(E$100:E110))</f>
        <v>4605128.4404944181</v>
      </c>
      <c r="E111" s="510">
        <f t="shared" si="28"/>
        <v>470245.49421052635</v>
      </c>
      <c r="F111" s="511">
        <f t="shared" si="29"/>
        <v>4134882.9462838918</v>
      </c>
      <c r="G111" s="511">
        <f t="shared" si="30"/>
        <v>4370005.693389155</v>
      </c>
      <c r="H111" s="645">
        <f t="shared" si="31"/>
        <v>949347.39844434953</v>
      </c>
      <c r="I111" s="628">
        <f t="shared" si="32"/>
        <v>949347.39844434953</v>
      </c>
      <c r="J111" s="505">
        <f t="shared" si="19"/>
        <v>0</v>
      </c>
      <c r="K111" s="505"/>
      <c r="L111" s="513"/>
      <c r="M111" s="505">
        <f t="shared" si="33"/>
        <v>0</v>
      </c>
      <c r="N111" s="513"/>
      <c r="O111" s="505">
        <f t="shared" si="24"/>
        <v>0</v>
      </c>
      <c r="P111" s="505">
        <f t="shared" si="25"/>
        <v>0</v>
      </c>
    </row>
    <row r="112" spans="1:16" ht="12.5">
      <c r="B112" s="145" t="str">
        <f t="shared" si="18"/>
        <v/>
      </c>
      <c r="C112" s="496">
        <f>IF(D94="","-",+C111+1)</f>
        <v>2030</v>
      </c>
      <c r="D112" s="350">
        <f>IF(F111+SUM(E$100:E111)=D$93,F111,D$93-SUM(E$100:E111))</f>
        <v>4134882.9462838918</v>
      </c>
      <c r="E112" s="510">
        <f t="shared" si="28"/>
        <v>470245.49421052635</v>
      </c>
      <c r="F112" s="511">
        <f t="shared" si="29"/>
        <v>3664637.4520733654</v>
      </c>
      <c r="G112" s="511">
        <f t="shared" si="30"/>
        <v>3899760.1991786286</v>
      </c>
      <c r="H112" s="645">
        <f t="shared" si="31"/>
        <v>897792.42860198522</v>
      </c>
      <c r="I112" s="628">
        <f t="shared" si="32"/>
        <v>897792.42860198522</v>
      </c>
      <c r="J112" s="505">
        <f t="shared" si="19"/>
        <v>0</v>
      </c>
      <c r="K112" s="505"/>
      <c r="L112" s="513"/>
      <c r="M112" s="505">
        <f t="shared" si="33"/>
        <v>0</v>
      </c>
      <c r="N112" s="513"/>
      <c r="O112" s="505">
        <f t="shared" si="24"/>
        <v>0</v>
      </c>
      <c r="P112" s="505">
        <f t="shared" si="25"/>
        <v>0</v>
      </c>
    </row>
    <row r="113" spans="2:16" ht="12.5">
      <c r="B113" s="145" t="str">
        <f t="shared" si="18"/>
        <v/>
      </c>
      <c r="C113" s="496">
        <f>IF(D94="","-",+C112+1)</f>
        <v>2031</v>
      </c>
      <c r="D113" s="350">
        <f>IF(F112+SUM(E$100:E112)=D$93,F112,D$93-SUM(E$100:E112))</f>
        <v>3664637.4520733654</v>
      </c>
      <c r="E113" s="510">
        <f t="shared" si="28"/>
        <v>470245.49421052635</v>
      </c>
      <c r="F113" s="511">
        <f t="shared" si="29"/>
        <v>3194391.9578628391</v>
      </c>
      <c r="G113" s="511">
        <f t="shared" si="30"/>
        <v>3429514.7049681023</v>
      </c>
      <c r="H113" s="645">
        <f t="shared" si="31"/>
        <v>846237.45875962079</v>
      </c>
      <c r="I113" s="628">
        <f t="shared" si="32"/>
        <v>846237.45875962079</v>
      </c>
      <c r="J113" s="505">
        <f t="shared" si="19"/>
        <v>0</v>
      </c>
      <c r="K113" s="505"/>
      <c r="L113" s="513"/>
      <c r="M113" s="505">
        <f t="shared" si="33"/>
        <v>0</v>
      </c>
      <c r="N113" s="513"/>
      <c r="O113" s="505">
        <f t="shared" si="24"/>
        <v>0</v>
      </c>
      <c r="P113" s="505">
        <f t="shared" si="25"/>
        <v>0</v>
      </c>
    </row>
    <row r="114" spans="2:16" ht="12.5">
      <c r="B114" s="145" t="str">
        <f t="shared" si="18"/>
        <v/>
      </c>
      <c r="C114" s="496">
        <f>IF(D94="","-",+C113+1)</f>
        <v>2032</v>
      </c>
      <c r="D114" s="350">
        <f>IF(F113+SUM(E$100:E113)=D$93,F113,D$93-SUM(E$100:E113))</f>
        <v>3194391.9578628391</v>
      </c>
      <c r="E114" s="510">
        <f t="shared" si="28"/>
        <v>470245.49421052635</v>
      </c>
      <c r="F114" s="511">
        <f t="shared" si="29"/>
        <v>2724146.4636523128</v>
      </c>
      <c r="G114" s="511">
        <f t="shared" si="30"/>
        <v>2959269.2107575759</v>
      </c>
      <c r="H114" s="645">
        <f t="shared" si="31"/>
        <v>794682.48891725647</v>
      </c>
      <c r="I114" s="628">
        <f t="shared" si="32"/>
        <v>794682.48891725647</v>
      </c>
      <c r="J114" s="505">
        <f t="shared" si="19"/>
        <v>0</v>
      </c>
      <c r="K114" s="505"/>
      <c r="L114" s="513"/>
      <c r="M114" s="505">
        <f t="shared" si="33"/>
        <v>0</v>
      </c>
      <c r="N114" s="513"/>
      <c r="O114" s="505">
        <f t="shared" si="24"/>
        <v>0</v>
      </c>
      <c r="P114" s="505">
        <f t="shared" si="25"/>
        <v>0</v>
      </c>
    </row>
    <row r="115" spans="2:16" ht="12.5">
      <c r="B115" s="145" t="str">
        <f t="shared" si="18"/>
        <v/>
      </c>
      <c r="C115" s="496">
        <f>IF(D94="","-",+C114+1)</f>
        <v>2033</v>
      </c>
      <c r="D115" s="350">
        <f>IF(F114+SUM(E$100:E114)=D$93,F114,D$93-SUM(E$100:E114))</f>
        <v>2724146.4636523128</v>
      </c>
      <c r="E115" s="510">
        <f t="shared" si="28"/>
        <v>470245.49421052635</v>
      </c>
      <c r="F115" s="511">
        <f t="shared" si="29"/>
        <v>2253900.9694417864</v>
      </c>
      <c r="G115" s="511">
        <f t="shared" si="30"/>
        <v>2489023.7165470496</v>
      </c>
      <c r="H115" s="645">
        <f t="shared" si="31"/>
        <v>743127.51907489216</v>
      </c>
      <c r="I115" s="628">
        <f t="shared" si="32"/>
        <v>743127.51907489216</v>
      </c>
      <c r="J115" s="505">
        <f t="shared" si="19"/>
        <v>0</v>
      </c>
      <c r="K115" s="505"/>
      <c r="L115" s="513"/>
      <c r="M115" s="505">
        <f t="shared" si="33"/>
        <v>0</v>
      </c>
      <c r="N115" s="513"/>
      <c r="O115" s="505">
        <f t="shared" si="24"/>
        <v>0</v>
      </c>
      <c r="P115" s="505">
        <f t="shared" si="25"/>
        <v>0</v>
      </c>
    </row>
    <row r="116" spans="2:16" ht="12.5">
      <c r="B116" s="145" t="str">
        <f t="shared" si="18"/>
        <v/>
      </c>
      <c r="C116" s="496">
        <f>IF(D94="","-",+C115+1)</f>
        <v>2034</v>
      </c>
      <c r="D116" s="350">
        <f>IF(F115+SUM(E$100:E115)=D$93,F115,D$93-SUM(E$100:E115))</f>
        <v>2253900.9694417864</v>
      </c>
      <c r="E116" s="510">
        <f t="shared" si="28"/>
        <v>470245.49421052635</v>
      </c>
      <c r="F116" s="511">
        <f t="shared" si="29"/>
        <v>1783655.4752312601</v>
      </c>
      <c r="G116" s="511">
        <f t="shared" si="30"/>
        <v>2018778.2223365232</v>
      </c>
      <c r="H116" s="645">
        <f t="shared" si="31"/>
        <v>691572.54923252773</v>
      </c>
      <c r="I116" s="628">
        <f t="shared" si="32"/>
        <v>691572.54923252773</v>
      </c>
      <c r="J116" s="505">
        <f t="shared" si="19"/>
        <v>0</v>
      </c>
      <c r="K116" s="505"/>
      <c r="L116" s="513"/>
      <c r="M116" s="505">
        <f t="shared" si="33"/>
        <v>0</v>
      </c>
      <c r="N116" s="513"/>
      <c r="O116" s="505">
        <f t="shared" si="24"/>
        <v>0</v>
      </c>
      <c r="P116" s="505">
        <f t="shared" si="25"/>
        <v>0</v>
      </c>
    </row>
    <row r="117" spans="2:16" ht="12.5">
      <c r="B117" s="145" t="str">
        <f t="shared" si="18"/>
        <v/>
      </c>
      <c r="C117" s="496">
        <f>IF(D94="","-",+C116+1)</f>
        <v>2035</v>
      </c>
      <c r="D117" s="350">
        <f>IF(F116+SUM(E$100:E116)=D$93,F116,D$93-SUM(E$100:E116))</f>
        <v>1783655.4752312601</v>
      </c>
      <c r="E117" s="510">
        <f t="shared" si="28"/>
        <v>470245.49421052635</v>
      </c>
      <c r="F117" s="511">
        <f t="shared" si="29"/>
        <v>1313409.9810207337</v>
      </c>
      <c r="G117" s="511">
        <f t="shared" si="30"/>
        <v>1548532.7281259969</v>
      </c>
      <c r="H117" s="645">
        <f t="shared" si="31"/>
        <v>640017.5793901633</v>
      </c>
      <c r="I117" s="628">
        <f t="shared" si="32"/>
        <v>640017.5793901633</v>
      </c>
      <c r="J117" s="505">
        <f t="shared" si="19"/>
        <v>0</v>
      </c>
      <c r="K117" s="505"/>
      <c r="L117" s="513"/>
      <c r="M117" s="505">
        <f t="shared" si="33"/>
        <v>0</v>
      </c>
      <c r="N117" s="513"/>
      <c r="O117" s="505">
        <f t="shared" si="24"/>
        <v>0</v>
      </c>
      <c r="P117" s="505">
        <f t="shared" si="25"/>
        <v>0</v>
      </c>
    </row>
    <row r="118" spans="2:16" ht="12.5">
      <c r="B118" s="145" t="str">
        <f t="shared" si="18"/>
        <v/>
      </c>
      <c r="C118" s="496">
        <f>IF(D94="","-",+C117+1)</f>
        <v>2036</v>
      </c>
      <c r="D118" s="350">
        <f>IF(F117+SUM(E$100:E117)=D$93,F117,D$93-SUM(E$100:E117))</f>
        <v>1313409.9810207337</v>
      </c>
      <c r="E118" s="510">
        <f t="shared" si="28"/>
        <v>470245.49421052635</v>
      </c>
      <c r="F118" s="511">
        <f t="shared" si="29"/>
        <v>843164.48681020737</v>
      </c>
      <c r="G118" s="511">
        <f t="shared" si="30"/>
        <v>1078287.2339154705</v>
      </c>
      <c r="H118" s="645">
        <f t="shared" si="31"/>
        <v>588462.60954779899</v>
      </c>
      <c r="I118" s="628">
        <f t="shared" si="32"/>
        <v>588462.60954779899</v>
      </c>
      <c r="J118" s="505">
        <f t="shared" si="19"/>
        <v>0</v>
      </c>
      <c r="K118" s="505"/>
      <c r="L118" s="513"/>
      <c r="M118" s="505">
        <f t="shared" si="33"/>
        <v>0</v>
      </c>
      <c r="N118" s="513"/>
      <c r="O118" s="505">
        <f t="shared" si="24"/>
        <v>0</v>
      </c>
      <c r="P118" s="505">
        <f t="shared" si="25"/>
        <v>0</v>
      </c>
    </row>
    <row r="119" spans="2:16" ht="12.5">
      <c r="B119" s="145" t="str">
        <f t="shared" si="18"/>
        <v/>
      </c>
      <c r="C119" s="496">
        <f>IF(D94="","-",+C118+1)</f>
        <v>2037</v>
      </c>
      <c r="D119" s="350">
        <f>IF(F118+SUM(E$100:E118)=D$93,F118,D$93-SUM(E$100:E118))</f>
        <v>843164.48681020737</v>
      </c>
      <c r="E119" s="510">
        <f t="shared" si="28"/>
        <v>470245.49421052635</v>
      </c>
      <c r="F119" s="511">
        <f t="shared" si="29"/>
        <v>372918.99259968102</v>
      </c>
      <c r="G119" s="511">
        <f t="shared" si="30"/>
        <v>608041.73970494419</v>
      </c>
      <c r="H119" s="645">
        <f t="shared" si="31"/>
        <v>536907.63970543467</v>
      </c>
      <c r="I119" s="628">
        <f t="shared" si="32"/>
        <v>536907.63970543467</v>
      </c>
      <c r="J119" s="505">
        <f t="shared" si="19"/>
        <v>0</v>
      </c>
      <c r="K119" s="505"/>
      <c r="L119" s="513"/>
      <c r="M119" s="505">
        <f t="shared" si="33"/>
        <v>0</v>
      </c>
      <c r="N119" s="513"/>
      <c r="O119" s="505">
        <f t="shared" si="24"/>
        <v>0</v>
      </c>
      <c r="P119" s="505">
        <f t="shared" si="25"/>
        <v>0</v>
      </c>
    </row>
    <row r="120" spans="2:16" ht="12.5">
      <c r="B120" s="145" t="str">
        <f t="shared" si="18"/>
        <v/>
      </c>
      <c r="C120" s="496">
        <f>IF(D94="","-",+C119+1)</f>
        <v>2038</v>
      </c>
      <c r="D120" s="350">
        <f>IF(F119+SUM(E$100:E119)=D$93,F119,D$93-SUM(E$100:E119))</f>
        <v>372918.99259968102</v>
      </c>
      <c r="E120" s="510">
        <f t="shared" si="28"/>
        <v>372918.99259968102</v>
      </c>
      <c r="F120" s="511">
        <f t="shared" si="29"/>
        <v>0</v>
      </c>
      <c r="G120" s="511">
        <f t="shared" si="30"/>
        <v>186459.49629984051</v>
      </c>
      <c r="H120" s="645">
        <f t="shared" si="31"/>
        <v>393361.32288654405</v>
      </c>
      <c r="I120" s="628">
        <f t="shared" si="32"/>
        <v>393361.32288654405</v>
      </c>
      <c r="J120" s="505">
        <f t="shared" si="19"/>
        <v>0</v>
      </c>
      <c r="K120" s="505"/>
      <c r="L120" s="513"/>
      <c r="M120" s="505">
        <f t="shared" si="33"/>
        <v>0</v>
      </c>
      <c r="N120" s="513"/>
      <c r="O120" s="505">
        <f t="shared" si="24"/>
        <v>0</v>
      </c>
      <c r="P120" s="505">
        <f t="shared" si="25"/>
        <v>0</v>
      </c>
    </row>
    <row r="121" spans="2:16" ht="12.5">
      <c r="B121" s="145" t="str">
        <f t="shared" si="18"/>
        <v/>
      </c>
      <c r="C121" s="496">
        <f>IF(D94="","-",+C120+1)</f>
        <v>2039</v>
      </c>
      <c r="D121" s="350">
        <f>IF(F120+SUM(E$100:E120)=D$93,F120,D$93-SUM(E$100:E120))</f>
        <v>0</v>
      </c>
      <c r="E121" s="510">
        <f t="shared" si="28"/>
        <v>0</v>
      </c>
      <c r="F121" s="511">
        <f t="shared" si="29"/>
        <v>0</v>
      </c>
      <c r="G121" s="511">
        <f t="shared" si="30"/>
        <v>0</v>
      </c>
      <c r="H121" s="645">
        <f t="shared" si="31"/>
        <v>0</v>
      </c>
      <c r="I121" s="628">
        <f t="shared" si="32"/>
        <v>0</v>
      </c>
      <c r="J121" s="505">
        <f t="shared" si="19"/>
        <v>0</v>
      </c>
      <c r="K121" s="505"/>
      <c r="L121" s="513"/>
      <c r="M121" s="505">
        <f t="shared" si="33"/>
        <v>0</v>
      </c>
      <c r="N121" s="513"/>
      <c r="O121" s="505">
        <f t="shared" si="24"/>
        <v>0</v>
      </c>
      <c r="P121" s="505">
        <f t="shared" si="25"/>
        <v>0</v>
      </c>
    </row>
    <row r="122" spans="2:16" ht="12.5">
      <c r="B122" s="145" t="str">
        <f t="shared" si="18"/>
        <v/>
      </c>
      <c r="C122" s="496">
        <f>IF(D94="","-",+C121+1)</f>
        <v>2040</v>
      </c>
      <c r="D122" s="350">
        <f>IF(F121+SUM(E$100:E121)=D$93,F121,D$93-SUM(E$100:E121))</f>
        <v>0</v>
      </c>
      <c r="E122" s="510">
        <f t="shared" si="28"/>
        <v>0</v>
      </c>
      <c r="F122" s="511">
        <f t="shared" si="29"/>
        <v>0</v>
      </c>
      <c r="G122" s="511">
        <f t="shared" si="30"/>
        <v>0</v>
      </c>
      <c r="H122" s="645">
        <f t="shared" si="31"/>
        <v>0</v>
      </c>
      <c r="I122" s="628">
        <f t="shared" si="32"/>
        <v>0</v>
      </c>
      <c r="J122" s="505">
        <f t="shared" si="19"/>
        <v>0</v>
      </c>
      <c r="K122" s="505"/>
      <c r="L122" s="513"/>
      <c r="M122" s="505">
        <f t="shared" si="33"/>
        <v>0</v>
      </c>
      <c r="N122" s="513"/>
      <c r="O122" s="505">
        <f t="shared" si="24"/>
        <v>0</v>
      </c>
      <c r="P122" s="505">
        <f t="shared" si="25"/>
        <v>0</v>
      </c>
    </row>
    <row r="123" spans="2:16" ht="12.5">
      <c r="B123" s="145" t="str">
        <f t="shared" si="18"/>
        <v/>
      </c>
      <c r="C123" s="496">
        <f>IF(D94="","-",+C122+1)</f>
        <v>2041</v>
      </c>
      <c r="D123" s="350">
        <f>IF(F122+SUM(E$100:E122)=D$93,F122,D$93-SUM(E$100:E122))</f>
        <v>0</v>
      </c>
      <c r="E123" s="510">
        <f t="shared" si="28"/>
        <v>0</v>
      </c>
      <c r="F123" s="511">
        <f t="shared" si="29"/>
        <v>0</v>
      </c>
      <c r="G123" s="511">
        <f t="shared" si="30"/>
        <v>0</v>
      </c>
      <c r="H123" s="645">
        <f t="shared" si="31"/>
        <v>0</v>
      </c>
      <c r="I123" s="628">
        <f t="shared" si="32"/>
        <v>0</v>
      </c>
      <c r="J123" s="505">
        <f t="shared" si="19"/>
        <v>0</v>
      </c>
      <c r="K123" s="505"/>
      <c r="L123" s="513"/>
      <c r="M123" s="505">
        <f t="shared" si="33"/>
        <v>0</v>
      </c>
      <c r="N123" s="513"/>
      <c r="O123" s="505">
        <f t="shared" si="24"/>
        <v>0</v>
      </c>
      <c r="P123" s="505">
        <f t="shared" si="25"/>
        <v>0</v>
      </c>
    </row>
    <row r="124" spans="2:16" ht="12.5">
      <c r="B124" s="145" t="str">
        <f t="shared" si="18"/>
        <v/>
      </c>
      <c r="C124" s="496">
        <f>IF(D94="","-",+C123+1)</f>
        <v>2042</v>
      </c>
      <c r="D124" s="350">
        <f>IF(F123+SUM(E$100:E123)=D$93,F123,D$93-SUM(E$100:E123))</f>
        <v>0</v>
      </c>
      <c r="E124" s="510">
        <f t="shared" si="28"/>
        <v>0</v>
      </c>
      <c r="F124" s="511">
        <f t="shared" si="29"/>
        <v>0</v>
      </c>
      <c r="G124" s="511">
        <f t="shared" si="30"/>
        <v>0</v>
      </c>
      <c r="H124" s="645">
        <f t="shared" si="31"/>
        <v>0</v>
      </c>
      <c r="I124" s="628">
        <f t="shared" si="32"/>
        <v>0</v>
      </c>
      <c r="J124" s="505">
        <f t="shared" si="19"/>
        <v>0</v>
      </c>
      <c r="K124" s="505"/>
      <c r="L124" s="513"/>
      <c r="M124" s="505">
        <f t="shared" si="33"/>
        <v>0</v>
      </c>
      <c r="N124" s="513"/>
      <c r="O124" s="505">
        <f t="shared" si="24"/>
        <v>0</v>
      </c>
      <c r="P124" s="505">
        <f t="shared" si="25"/>
        <v>0</v>
      </c>
    </row>
    <row r="125" spans="2:16" ht="12.5">
      <c r="B125" s="145" t="str">
        <f t="shared" si="18"/>
        <v/>
      </c>
      <c r="C125" s="496">
        <f>IF(D94="","-",+C124+1)</f>
        <v>2043</v>
      </c>
      <c r="D125" s="350">
        <f>IF(F124+SUM(E$100:E124)=D$93,F124,D$93-SUM(E$100:E124))</f>
        <v>0</v>
      </c>
      <c r="E125" s="510">
        <f t="shared" si="28"/>
        <v>0</v>
      </c>
      <c r="F125" s="511">
        <f t="shared" si="29"/>
        <v>0</v>
      </c>
      <c r="G125" s="511">
        <f t="shared" si="30"/>
        <v>0</v>
      </c>
      <c r="H125" s="645">
        <f t="shared" si="31"/>
        <v>0</v>
      </c>
      <c r="I125" s="628">
        <f t="shared" si="32"/>
        <v>0</v>
      </c>
      <c r="J125" s="505">
        <f t="shared" si="19"/>
        <v>0</v>
      </c>
      <c r="K125" s="505"/>
      <c r="L125" s="513"/>
      <c r="M125" s="505">
        <f t="shared" si="33"/>
        <v>0</v>
      </c>
      <c r="N125" s="513"/>
      <c r="O125" s="505">
        <f t="shared" si="24"/>
        <v>0</v>
      </c>
      <c r="P125" s="505">
        <f t="shared" si="25"/>
        <v>0</v>
      </c>
    </row>
    <row r="126" spans="2:16" ht="12.5">
      <c r="B126" s="145" t="str">
        <f t="shared" si="18"/>
        <v/>
      </c>
      <c r="C126" s="496">
        <f>IF(D94="","-",+C125+1)</f>
        <v>2044</v>
      </c>
      <c r="D126" s="350">
        <f>IF(F125+SUM(E$100:E125)=D$93,F125,D$93-SUM(E$100:E125))</f>
        <v>0</v>
      </c>
      <c r="E126" s="510">
        <f t="shared" si="28"/>
        <v>0</v>
      </c>
      <c r="F126" s="511">
        <f t="shared" si="29"/>
        <v>0</v>
      </c>
      <c r="G126" s="511">
        <f t="shared" si="30"/>
        <v>0</v>
      </c>
      <c r="H126" s="645">
        <f t="shared" si="31"/>
        <v>0</v>
      </c>
      <c r="I126" s="628">
        <f t="shared" si="32"/>
        <v>0</v>
      </c>
      <c r="J126" s="505">
        <f t="shared" si="19"/>
        <v>0</v>
      </c>
      <c r="K126" s="505"/>
      <c r="L126" s="513"/>
      <c r="M126" s="505">
        <f t="shared" si="33"/>
        <v>0</v>
      </c>
      <c r="N126" s="513"/>
      <c r="O126" s="505">
        <f t="shared" si="24"/>
        <v>0</v>
      </c>
      <c r="P126" s="505">
        <f t="shared" si="25"/>
        <v>0</v>
      </c>
    </row>
    <row r="127" spans="2:16" ht="12.5">
      <c r="B127" s="145" t="str">
        <f t="shared" si="18"/>
        <v/>
      </c>
      <c r="C127" s="496">
        <f>IF(D94="","-",+C126+1)</f>
        <v>2045</v>
      </c>
      <c r="D127" s="350">
        <f>IF(F126+SUM(E$100:E126)=D$93,F126,D$93-SUM(E$100:E126))</f>
        <v>0</v>
      </c>
      <c r="E127" s="510">
        <f t="shared" si="28"/>
        <v>0</v>
      </c>
      <c r="F127" s="511">
        <f t="shared" si="29"/>
        <v>0</v>
      </c>
      <c r="G127" s="511">
        <f t="shared" si="30"/>
        <v>0</v>
      </c>
      <c r="H127" s="645">
        <f t="shared" si="31"/>
        <v>0</v>
      </c>
      <c r="I127" s="628">
        <f t="shared" si="32"/>
        <v>0</v>
      </c>
      <c r="J127" s="505">
        <f t="shared" si="19"/>
        <v>0</v>
      </c>
      <c r="K127" s="505"/>
      <c r="L127" s="513"/>
      <c r="M127" s="505">
        <f t="shared" si="33"/>
        <v>0</v>
      </c>
      <c r="N127" s="513"/>
      <c r="O127" s="505">
        <f t="shared" si="24"/>
        <v>0</v>
      </c>
      <c r="P127" s="505">
        <f t="shared" si="25"/>
        <v>0</v>
      </c>
    </row>
    <row r="128" spans="2:16" ht="12.5">
      <c r="B128" s="145" t="str">
        <f t="shared" si="18"/>
        <v/>
      </c>
      <c r="C128" s="496">
        <f>IF(D94="","-",+C127+1)</f>
        <v>2046</v>
      </c>
      <c r="D128" s="350">
        <f>IF(F127+SUM(E$100:E127)=D$93,F127,D$93-SUM(E$100:E127))</f>
        <v>0</v>
      </c>
      <c r="E128" s="510">
        <f t="shared" si="28"/>
        <v>0</v>
      </c>
      <c r="F128" s="511">
        <f t="shared" si="29"/>
        <v>0</v>
      </c>
      <c r="G128" s="511">
        <f t="shared" si="30"/>
        <v>0</v>
      </c>
      <c r="H128" s="645">
        <f t="shared" si="31"/>
        <v>0</v>
      </c>
      <c r="I128" s="628">
        <f t="shared" si="32"/>
        <v>0</v>
      </c>
      <c r="J128" s="505">
        <f t="shared" si="19"/>
        <v>0</v>
      </c>
      <c r="K128" s="505"/>
      <c r="L128" s="513"/>
      <c r="M128" s="505">
        <f t="shared" si="33"/>
        <v>0</v>
      </c>
      <c r="N128" s="513"/>
      <c r="O128" s="505">
        <f t="shared" si="24"/>
        <v>0</v>
      </c>
      <c r="P128" s="505">
        <f t="shared" si="25"/>
        <v>0</v>
      </c>
    </row>
    <row r="129" spans="2:16" ht="12.5">
      <c r="B129" s="145" t="str">
        <f t="shared" si="18"/>
        <v/>
      </c>
      <c r="C129" s="496">
        <f>IF(D94="","-",+C128+1)</f>
        <v>2047</v>
      </c>
      <c r="D129" s="350">
        <f>IF(F128+SUM(E$100:E128)=D$93,F128,D$93-SUM(E$100:E128))</f>
        <v>0</v>
      </c>
      <c r="E129" s="510">
        <f t="shared" si="28"/>
        <v>0</v>
      </c>
      <c r="F129" s="511">
        <f t="shared" si="29"/>
        <v>0</v>
      </c>
      <c r="G129" s="511">
        <f t="shared" si="30"/>
        <v>0</v>
      </c>
      <c r="H129" s="645">
        <f t="shared" si="31"/>
        <v>0</v>
      </c>
      <c r="I129" s="628">
        <f t="shared" si="32"/>
        <v>0</v>
      </c>
      <c r="J129" s="505">
        <f t="shared" si="19"/>
        <v>0</v>
      </c>
      <c r="K129" s="505"/>
      <c r="L129" s="513"/>
      <c r="M129" s="505">
        <f t="shared" si="33"/>
        <v>0</v>
      </c>
      <c r="N129" s="513"/>
      <c r="O129" s="505">
        <f t="shared" si="24"/>
        <v>0</v>
      </c>
      <c r="P129" s="505">
        <f t="shared" si="25"/>
        <v>0</v>
      </c>
    </row>
    <row r="130" spans="2:16" ht="12.5">
      <c r="B130" s="145" t="str">
        <f t="shared" si="18"/>
        <v/>
      </c>
      <c r="C130" s="496">
        <f>IF(D94="","-",+C129+1)</f>
        <v>2048</v>
      </c>
      <c r="D130" s="350">
        <f>IF(F129+SUM(E$100:E129)=D$93,F129,D$93-SUM(E$100:E129))</f>
        <v>0</v>
      </c>
      <c r="E130" s="510">
        <f t="shared" si="28"/>
        <v>0</v>
      </c>
      <c r="F130" s="511">
        <f t="shared" si="29"/>
        <v>0</v>
      </c>
      <c r="G130" s="511">
        <f t="shared" si="30"/>
        <v>0</v>
      </c>
      <c r="H130" s="645">
        <f t="shared" si="31"/>
        <v>0</v>
      </c>
      <c r="I130" s="628">
        <f t="shared" si="32"/>
        <v>0</v>
      </c>
      <c r="J130" s="505">
        <f t="shared" si="19"/>
        <v>0</v>
      </c>
      <c r="K130" s="505"/>
      <c r="L130" s="513"/>
      <c r="M130" s="505">
        <f t="shared" si="33"/>
        <v>0</v>
      </c>
      <c r="N130" s="513"/>
      <c r="O130" s="505">
        <f t="shared" si="24"/>
        <v>0</v>
      </c>
      <c r="P130" s="505">
        <f t="shared" si="25"/>
        <v>0</v>
      </c>
    </row>
    <row r="131" spans="2:16" ht="12.5">
      <c r="B131" s="145" t="str">
        <f t="shared" si="18"/>
        <v/>
      </c>
      <c r="C131" s="496">
        <f>IF(D94="","-",+C130+1)</f>
        <v>2049</v>
      </c>
      <c r="D131" s="350">
        <f>IF(F130+SUM(E$100:E130)=D$93,F130,D$93-SUM(E$100:E130))</f>
        <v>0</v>
      </c>
      <c r="E131" s="510">
        <f t="shared" si="28"/>
        <v>0</v>
      </c>
      <c r="F131" s="511">
        <f t="shared" si="29"/>
        <v>0</v>
      </c>
      <c r="G131" s="511">
        <f t="shared" si="30"/>
        <v>0</v>
      </c>
      <c r="H131" s="645">
        <f t="shared" si="31"/>
        <v>0</v>
      </c>
      <c r="I131" s="628">
        <f t="shared" si="32"/>
        <v>0</v>
      </c>
      <c r="J131" s="505">
        <f t="shared" si="19"/>
        <v>0</v>
      </c>
      <c r="K131" s="505"/>
      <c r="L131" s="513"/>
      <c r="M131" s="505">
        <f t="shared" si="33"/>
        <v>0</v>
      </c>
      <c r="N131" s="513"/>
      <c r="O131" s="505">
        <f t="shared" si="24"/>
        <v>0</v>
      </c>
      <c r="P131" s="505">
        <f t="shared" si="25"/>
        <v>0</v>
      </c>
    </row>
    <row r="132" spans="2:16" ht="12.5">
      <c r="B132" s="145" t="str">
        <f t="shared" si="18"/>
        <v/>
      </c>
      <c r="C132" s="496">
        <f>IF(D94="","-",+C131+1)</f>
        <v>2050</v>
      </c>
      <c r="D132" s="350">
        <f>IF(F131+SUM(E$100:E131)=D$93,F131,D$93-SUM(E$100:E131))</f>
        <v>0</v>
      </c>
      <c r="E132" s="510">
        <f t="shared" si="28"/>
        <v>0</v>
      </c>
      <c r="F132" s="511">
        <f t="shared" si="29"/>
        <v>0</v>
      </c>
      <c r="G132" s="511">
        <f t="shared" si="30"/>
        <v>0</v>
      </c>
      <c r="H132" s="645">
        <f t="shared" si="31"/>
        <v>0</v>
      </c>
      <c r="I132" s="628">
        <f t="shared" si="32"/>
        <v>0</v>
      </c>
      <c r="J132" s="505">
        <f t="shared" ref="J132:J155" si="34">+I542-H542</f>
        <v>0</v>
      </c>
      <c r="K132" s="505"/>
      <c r="L132" s="513"/>
      <c r="M132" s="505">
        <f t="shared" ref="M132:M155" si="35">IF(L542&lt;&gt;0,+H542-L542,0)</f>
        <v>0</v>
      </c>
      <c r="N132" s="513"/>
      <c r="O132" s="505">
        <f t="shared" ref="O132:O155" si="36">IF(N542&lt;&gt;0,+I542-N542,0)</f>
        <v>0</v>
      </c>
      <c r="P132" s="505">
        <f t="shared" ref="P132:P155" si="37">+O542-M542</f>
        <v>0</v>
      </c>
    </row>
    <row r="133" spans="2:16" ht="12.5">
      <c r="B133" s="145" t="str">
        <f t="shared" si="18"/>
        <v/>
      </c>
      <c r="C133" s="496">
        <f>IF(D94="","-",+C132+1)</f>
        <v>2051</v>
      </c>
      <c r="D133" s="350">
        <f>IF(F132+SUM(E$100:E132)=D$93,F132,D$93-SUM(E$100:E132))</f>
        <v>0</v>
      </c>
      <c r="E133" s="510">
        <f t="shared" si="28"/>
        <v>0</v>
      </c>
      <c r="F133" s="511">
        <f t="shared" si="29"/>
        <v>0</v>
      </c>
      <c r="G133" s="511">
        <f t="shared" si="30"/>
        <v>0</v>
      </c>
      <c r="H133" s="645">
        <f t="shared" si="31"/>
        <v>0</v>
      </c>
      <c r="I133" s="628">
        <f t="shared" si="32"/>
        <v>0</v>
      </c>
      <c r="J133" s="505">
        <f t="shared" si="34"/>
        <v>0</v>
      </c>
      <c r="K133" s="505"/>
      <c r="L133" s="513"/>
      <c r="M133" s="505">
        <f t="shared" si="35"/>
        <v>0</v>
      </c>
      <c r="N133" s="513"/>
      <c r="O133" s="505">
        <f t="shared" si="36"/>
        <v>0</v>
      </c>
      <c r="P133" s="505">
        <f t="shared" si="37"/>
        <v>0</v>
      </c>
    </row>
    <row r="134" spans="2:16" ht="12.5">
      <c r="B134" s="145" t="str">
        <f t="shared" si="18"/>
        <v/>
      </c>
      <c r="C134" s="496">
        <f>IF(D94="","-",+C133+1)</f>
        <v>2052</v>
      </c>
      <c r="D134" s="350">
        <f>IF(F133+SUM(E$100:E133)=D$93,F133,D$93-SUM(E$100:E133))</f>
        <v>0</v>
      </c>
      <c r="E134" s="510">
        <f t="shared" si="28"/>
        <v>0</v>
      </c>
      <c r="F134" s="511">
        <f t="shared" si="29"/>
        <v>0</v>
      </c>
      <c r="G134" s="511">
        <f t="shared" si="30"/>
        <v>0</v>
      </c>
      <c r="H134" s="645">
        <f t="shared" si="31"/>
        <v>0</v>
      </c>
      <c r="I134" s="628">
        <f t="shared" si="32"/>
        <v>0</v>
      </c>
      <c r="J134" s="505">
        <f t="shared" si="34"/>
        <v>0</v>
      </c>
      <c r="K134" s="505"/>
      <c r="L134" s="513"/>
      <c r="M134" s="505">
        <f t="shared" si="35"/>
        <v>0</v>
      </c>
      <c r="N134" s="513"/>
      <c r="O134" s="505">
        <f t="shared" si="36"/>
        <v>0</v>
      </c>
      <c r="P134" s="505">
        <f t="shared" si="37"/>
        <v>0</v>
      </c>
    </row>
    <row r="135" spans="2:16" ht="12.5">
      <c r="B135" s="145" t="str">
        <f t="shared" si="18"/>
        <v/>
      </c>
      <c r="C135" s="496">
        <f>IF(D94="","-",+C134+1)</f>
        <v>2053</v>
      </c>
      <c r="D135" s="350">
        <f>IF(F134+SUM(E$100:E134)=D$93,F134,D$93-SUM(E$100:E134))</f>
        <v>0</v>
      </c>
      <c r="E135" s="510">
        <f t="shared" si="28"/>
        <v>0</v>
      </c>
      <c r="F135" s="511">
        <f t="shared" si="29"/>
        <v>0</v>
      </c>
      <c r="G135" s="511">
        <f t="shared" si="30"/>
        <v>0</v>
      </c>
      <c r="H135" s="645">
        <f t="shared" si="31"/>
        <v>0</v>
      </c>
      <c r="I135" s="628">
        <f t="shared" si="32"/>
        <v>0</v>
      </c>
      <c r="J135" s="505">
        <f t="shared" si="34"/>
        <v>0</v>
      </c>
      <c r="K135" s="505"/>
      <c r="L135" s="513"/>
      <c r="M135" s="505">
        <f t="shared" si="35"/>
        <v>0</v>
      </c>
      <c r="N135" s="513"/>
      <c r="O135" s="505">
        <f t="shared" si="36"/>
        <v>0</v>
      </c>
      <c r="P135" s="505">
        <f t="shared" si="37"/>
        <v>0</v>
      </c>
    </row>
    <row r="136" spans="2:16" ht="12.5">
      <c r="B136" s="145" t="str">
        <f t="shared" si="18"/>
        <v/>
      </c>
      <c r="C136" s="496">
        <f>IF(D94="","-",+C135+1)</f>
        <v>2054</v>
      </c>
      <c r="D136" s="350">
        <f>IF(F135+SUM(E$100:E135)=D$93,F135,D$93-SUM(E$100:E135))</f>
        <v>0</v>
      </c>
      <c r="E136" s="510">
        <f t="shared" si="28"/>
        <v>0</v>
      </c>
      <c r="F136" s="511">
        <f t="shared" si="29"/>
        <v>0</v>
      </c>
      <c r="G136" s="511">
        <f t="shared" si="30"/>
        <v>0</v>
      </c>
      <c r="H136" s="645">
        <f t="shared" si="31"/>
        <v>0</v>
      </c>
      <c r="I136" s="628">
        <f t="shared" si="32"/>
        <v>0</v>
      </c>
      <c r="J136" s="505">
        <f t="shared" si="34"/>
        <v>0</v>
      </c>
      <c r="K136" s="505"/>
      <c r="L136" s="513"/>
      <c r="M136" s="505">
        <f t="shared" si="35"/>
        <v>0</v>
      </c>
      <c r="N136" s="513"/>
      <c r="O136" s="505">
        <f t="shared" si="36"/>
        <v>0</v>
      </c>
      <c r="P136" s="505">
        <f t="shared" si="37"/>
        <v>0</v>
      </c>
    </row>
    <row r="137" spans="2:16" ht="12.5">
      <c r="B137" s="145" t="str">
        <f t="shared" si="18"/>
        <v/>
      </c>
      <c r="C137" s="496">
        <f>IF(D94="","-",+C136+1)</f>
        <v>2055</v>
      </c>
      <c r="D137" s="350">
        <f>IF(F136+SUM(E$100:E136)=D$93,F136,D$93-SUM(E$100:E136))</f>
        <v>0</v>
      </c>
      <c r="E137" s="510">
        <f t="shared" si="28"/>
        <v>0</v>
      </c>
      <c r="F137" s="511">
        <f t="shared" si="29"/>
        <v>0</v>
      </c>
      <c r="G137" s="511">
        <f t="shared" si="30"/>
        <v>0</v>
      </c>
      <c r="H137" s="645">
        <f t="shared" si="31"/>
        <v>0</v>
      </c>
      <c r="I137" s="628">
        <f t="shared" si="32"/>
        <v>0</v>
      </c>
      <c r="J137" s="505">
        <f t="shared" si="34"/>
        <v>0</v>
      </c>
      <c r="K137" s="505"/>
      <c r="L137" s="513"/>
      <c r="M137" s="505">
        <f t="shared" si="35"/>
        <v>0</v>
      </c>
      <c r="N137" s="513"/>
      <c r="O137" s="505">
        <f t="shared" si="36"/>
        <v>0</v>
      </c>
      <c r="P137" s="505">
        <f t="shared" si="37"/>
        <v>0</v>
      </c>
    </row>
    <row r="138" spans="2:16" ht="12.5">
      <c r="B138" s="145" t="str">
        <f t="shared" si="18"/>
        <v/>
      </c>
      <c r="C138" s="496">
        <f>IF(D94="","-",+C137+1)</f>
        <v>2056</v>
      </c>
      <c r="D138" s="350">
        <f>IF(F137+SUM(E$100:E137)=D$93,F137,D$93-SUM(E$100:E137))</f>
        <v>0</v>
      </c>
      <c r="E138" s="510">
        <f t="shared" si="28"/>
        <v>0</v>
      </c>
      <c r="F138" s="511">
        <f t="shared" si="29"/>
        <v>0</v>
      </c>
      <c r="G138" s="511">
        <f t="shared" si="30"/>
        <v>0</v>
      </c>
      <c r="H138" s="645">
        <f t="shared" si="31"/>
        <v>0</v>
      </c>
      <c r="I138" s="628">
        <f t="shared" si="32"/>
        <v>0</v>
      </c>
      <c r="J138" s="505">
        <f t="shared" si="34"/>
        <v>0</v>
      </c>
      <c r="K138" s="505"/>
      <c r="L138" s="513"/>
      <c r="M138" s="505">
        <f t="shared" si="35"/>
        <v>0</v>
      </c>
      <c r="N138" s="513"/>
      <c r="O138" s="505">
        <f t="shared" si="36"/>
        <v>0</v>
      </c>
      <c r="P138" s="505">
        <f t="shared" si="37"/>
        <v>0</v>
      </c>
    </row>
    <row r="139" spans="2:16" ht="12.5">
      <c r="B139" s="145" t="str">
        <f t="shared" si="18"/>
        <v/>
      </c>
      <c r="C139" s="496">
        <f>IF(D94="","-",+C138+1)</f>
        <v>2057</v>
      </c>
      <c r="D139" s="350">
        <f>IF(F138+SUM(E$100:E138)=D$93,F138,D$93-SUM(E$100:E138))</f>
        <v>0</v>
      </c>
      <c r="E139" s="510">
        <f t="shared" si="28"/>
        <v>0</v>
      </c>
      <c r="F139" s="511">
        <f t="shared" si="29"/>
        <v>0</v>
      </c>
      <c r="G139" s="511">
        <f t="shared" si="30"/>
        <v>0</v>
      </c>
      <c r="H139" s="645">
        <f t="shared" si="31"/>
        <v>0</v>
      </c>
      <c r="I139" s="628">
        <f t="shared" si="32"/>
        <v>0</v>
      </c>
      <c r="J139" s="505">
        <f t="shared" si="34"/>
        <v>0</v>
      </c>
      <c r="K139" s="505"/>
      <c r="L139" s="513"/>
      <c r="M139" s="505">
        <f t="shared" si="35"/>
        <v>0</v>
      </c>
      <c r="N139" s="513"/>
      <c r="O139" s="505">
        <f t="shared" si="36"/>
        <v>0</v>
      </c>
      <c r="P139" s="505">
        <f t="shared" si="37"/>
        <v>0</v>
      </c>
    </row>
    <row r="140" spans="2:16" ht="12.5">
      <c r="B140" s="145" t="str">
        <f t="shared" si="18"/>
        <v/>
      </c>
      <c r="C140" s="496">
        <f>IF(D94="","-",+C139+1)</f>
        <v>2058</v>
      </c>
      <c r="D140" s="350">
        <f>IF(F139+SUM(E$100:E139)=D$93,F139,D$93-SUM(E$100:E139))</f>
        <v>0</v>
      </c>
      <c r="E140" s="510">
        <f t="shared" si="28"/>
        <v>0</v>
      </c>
      <c r="F140" s="511">
        <f t="shared" si="29"/>
        <v>0</v>
      </c>
      <c r="G140" s="511">
        <f t="shared" si="30"/>
        <v>0</v>
      </c>
      <c r="H140" s="645">
        <f t="shared" si="31"/>
        <v>0</v>
      </c>
      <c r="I140" s="628">
        <f t="shared" si="32"/>
        <v>0</v>
      </c>
      <c r="J140" s="505">
        <f t="shared" si="34"/>
        <v>0</v>
      </c>
      <c r="K140" s="505"/>
      <c r="L140" s="513"/>
      <c r="M140" s="505">
        <f t="shared" si="35"/>
        <v>0</v>
      </c>
      <c r="N140" s="513"/>
      <c r="O140" s="505">
        <f t="shared" si="36"/>
        <v>0</v>
      </c>
      <c r="P140" s="505">
        <f t="shared" si="37"/>
        <v>0</v>
      </c>
    </row>
    <row r="141" spans="2:16" ht="12.5">
      <c r="B141" s="145" t="str">
        <f t="shared" si="18"/>
        <v/>
      </c>
      <c r="C141" s="496">
        <f>IF(D94="","-",+C140+1)</f>
        <v>2059</v>
      </c>
      <c r="D141" s="350">
        <f>IF(F140+SUM(E$100:E140)=D$93,F140,D$93-SUM(E$100:E140))</f>
        <v>0</v>
      </c>
      <c r="E141" s="510">
        <f t="shared" si="28"/>
        <v>0</v>
      </c>
      <c r="F141" s="511">
        <f t="shared" si="29"/>
        <v>0</v>
      </c>
      <c r="G141" s="511">
        <f t="shared" si="30"/>
        <v>0</v>
      </c>
      <c r="H141" s="645">
        <f t="shared" si="31"/>
        <v>0</v>
      </c>
      <c r="I141" s="628">
        <f t="shared" si="32"/>
        <v>0</v>
      </c>
      <c r="J141" s="505">
        <f t="shared" si="34"/>
        <v>0</v>
      </c>
      <c r="K141" s="505"/>
      <c r="L141" s="513"/>
      <c r="M141" s="505">
        <f t="shared" si="35"/>
        <v>0</v>
      </c>
      <c r="N141" s="513"/>
      <c r="O141" s="505">
        <f t="shared" si="36"/>
        <v>0</v>
      </c>
      <c r="P141" s="505">
        <f t="shared" si="37"/>
        <v>0</v>
      </c>
    </row>
    <row r="142" spans="2:16" ht="12.5">
      <c r="B142" s="145" t="str">
        <f t="shared" si="18"/>
        <v/>
      </c>
      <c r="C142" s="496">
        <f>IF(D94="","-",+C141+1)</f>
        <v>2060</v>
      </c>
      <c r="D142" s="350">
        <f>IF(F141+SUM(E$100:E141)=D$93,F141,D$93-SUM(E$100:E141))</f>
        <v>0</v>
      </c>
      <c r="E142" s="510">
        <f t="shared" si="28"/>
        <v>0</v>
      </c>
      <c r="F142" s="511">
        <f t="shared" si="29"/>
        <v>0</v>
      </c>
      <c r="G142" s="511">
        <f t="shared" si="30"/>
        <v>0</v>
      </c>
      <c r="H142" s="645">
        <f t="shared" si="31"/>
        <v>0</v>
      </c>
      <c r="I142" s="628">
        <f t="shared" si="32"/>
        <v>0</v>
      </c>
      <c r="J142" s="505">
        <f t="shared" si="34"/>
        <v>0</v>
      </c>
      <c r="K142" s="505"/>
      <c r="L142" s="513"/>
      <c r="M142" s="505">
        <f t="shared" si="35"/>
        <v>0</v>
      </c>
      <c r="N142" s="513"/>
      <c r="O142" s="505">
        <f t="shared" si="36"/>
        <v>0</v>
      </c>
      <c r="P142" s="505">
        <f t="shared" si="37"/>
        <v>0</v>
      </c>
    </row>
    <row r="143" spans="2:16" ht="12.5">
      <c r="B143" s="145" t="str">
        <f t="shared" si="18"/>
        <v/>
      </c>
      <c r="C143" s="496">
        <f>IF(D94="","-",+C142+1)</f>
        <v>2061</v>
      </c>
      <c r="D143" s="350">
        <f>IF(F142+SUM(E$100:E142)=D$93,F142,D$93-SUM(E$100:E142))</f>
        <v>0</v>
      </c>
      <c r="E143" s="510">
        <f t="shared" si="28"/>
        <v>0</v>
      </c>
      <c r="F143" s="511">
        <f t="shared" si="29"/>
        <v>0</v>
      </c>
      <c r="G143" s="511">
        <f t="shared" si="30"/>
        <v>0</v>
      </c>
      <c r="H143" s="645">
        <f t="shared" si="31"/>
        <v>0</v>
      </c>
      <c r="I143" s="628">
        <f t="shared" si="32"/>
        <v>0</v>
      </c>
      <c r="J143" s="505">
        <f t="shared" si="34"/>
        <v>0</v>
      </c>
      <c r="K143" s="505"/>
      <c r="L143" s="513"/>
      <c r="M143" s="505">
        <f t="shared" si="35"/>
        <v>0</v>
      </c>
      <c r="N143" s="513"/>
      <c r="O143" s="505">
        <f t="shared" si="36"/>
        <v>0</v>
      </c>
      <c r="P143" s="505">
        <f t="shared" si="37"/>
        <v>0</v>
      </c>
    </row>
    <row r="144" spans="2:16" ht="12.5">
      <c r="B144" s="145" t="str">
        <f t="shared" si="18"/>
        <v/>
      </c>
      <c r="C144" s="496">
        <f>IF(D94="","-",+C143+1)</f>
        <v>2062</v>
      </c>
      <c r="D144" s="350">
        <f>IF(F143+SUM(E$100:E143)=D$93,F143,D$93-SUM(E$100:E143))</f>
        <v>0</v>
      </c>
      <c r="E144" s="510">
        <f t="shared" si="28"/>
        <v>0</v>
      </c>
      <c r="F144" s="511">
        <f t="shared" si="29"/>
        <v>0</v>
      </c>
      <c r="G144" s="511">
        <f t="shared" si="30"/>
        <v>0</v>
      </c>
      <c r="H144" s="645">
        <f t="shared" si="31"/>
        <v>0</v>
      </c>
      <c r="I144" s="628">
        <f t="shared" si="32"/>
        <v>0</v>
      </c>
      <c r="J144" s="505">
        <f t="shared" si="34"/>
        <v>0</v>
      </c>
      <c r="K144" s="505"/>
      <c r="L144" s="513"/>
      <c r="M144" s="505">
        <f t="shared" si="35"/>
        <v>0</v>
      </c>
      <c r="N144" s="513"/>
      <c r="O144" s="505">
        <f t="shared" si="36"/>
        <v>0</v>
      </c>
      <c r="P144" s="505">
        <f t="shared" si="37"/>
        <v>0</v>
      </c>
    </row>
    <row r="145" spans="2:16" ht="12.5">
      <c r="B145" s="145" t="str">
        <f t="shared" si="18"/>
        <v/>
      </c>
      <c r="C145" s="496">
        <f>IF(D94="","-",+C144+1)</f>
        <v>2063</v>
      </c>
      <c r="D145" s="350">
        <f>IF(F144+SUM(E$100:E144)=D$93,F144,D$93-SUM(E$100:E144))</f>
        <v>0</v>
      </c>
      <c r="E145" s="510">
        <f t="shared" si="28"/>
        <v>0</v>
      </c>
      <c r="F145" s="511">
        <f t="shared" si="29"/>
        <v>0</v>
      </c>
      <c r="G145" s="511">
        <f t="shared" si="30"/>
        <v>0</v>
      </c>
      <c r="H145" s="645">
        <f t="shared" si="31"/>
        <v>0</v>
      </c>
      <c r="I145" s="628">
        <f t="shared" si="32"/>
        <v>0</v>
      </c>
      <c r="J145" s="505">
        <f t="shared" si="34"/>
        <v>0</v>
      </c>
      <c r="K145" s="505"/>
      <c r="L145" s="513"/>
      <c r="M145" s="505">
        <f t="shared" si="35"/>
        <v>0</v>
      </c>
      <c r="N145" s="513"/>
      <c r="O145" s="505">
        <f t="shared" si="36"/>
        <v>0</v>
      </c>
      <c r="P145" s="505">
        <f t="shared" si="37"/>
        <v>0</v>
      </c>
    </row>
    <row r="146" spans="2:16" ht="12.5">
      <c r="B146" s="145" t="str">
        <f t="shared" si="18"/>
        <v/>
      </c>
      <c r="C146" s="496">
        <f>IF(D94="","-",+C145+1)</f>
        <v>2064</v>
      </c>
      <c r="D146" s="350">
        <f>IF(F145+SUM(E$100:E145)=D$93,F145,D$93-SUM(E$100:E145))</f>
        <v>0</v>
      </c>
      <c r="E146" s="510">
        <f t="shared" si="28"/>
        <v>0</v>
      </c>
      <c r="F146" s="511">
        <f t="shared" si="29"/>
        <v>0</v>
      </c>
      <c r="G146" s="511">
        <f t="shared" si="30"/>
        <v>0</v>
      </c>
      <c r="H146" s="645">
        <f t="shared" si="31"/>
        <v>0</v>
      </c>
      <c r="I146" s="628">
        <f t="shared" si="32"/>
        <v>0</v>
      </c>
      <c r="J146" s="505">
        <f t="shared" si="34"/>
        <v>0</v>
      </c>
      <c r="K146" s="505"/>
      <c r="L146" s="513"/>
      <c r="M146" s="505">
        <f t="shared" si="35"/>
        <v>0</v>
      </c>
      <c r="N146" s="513"/>
      <c r="O146" s="505">
        <f t="shared" si="36"/>
        <v>0</v>
      </c>
      <c r="P146" s="505">
        <f t="shared" si="37"/>
        <v>0</v>
      </c>
    </row>
    <row r="147" spans="2:16" ht="12.5">
      <c r="B147" s="145" t="str">
        <f t="shared" si="18"/>
        <v/>
      </c>
      <c r="C147" s="496">
        <f>IF(D94="","-",+C146+1)</f>
        <v>2065</v>
      </c>
      <c r="D147" s="350">
        <f>IF(F146+SUM(E$100:E146)=D$93,F146,D$93-SUM(E$100:E146))</f>
        <v>0</v>
      </c>
      <c r="E147" s="510">
        <f t="shared" si="28"/>
        <v>0</v>
      </c>
      <c r="F147" s="511">
        <f t="shared" si="29"/>
        <v>0</v>
      </c>
      <c r="G147" s="511">
        <f t="shared" si="30"/>
        <v>0</v>
      </c>
      <c r="H147" s="645">
        <f t="shared" si="31"/>
        <v>0</v>
      </c>
      <c r="I147" s="628">
        <f t="shared" si="32"/>
        <v>0</v>
      </c>
      <c r="J147" s="505">
        <f t="shared" si="34"/>
        <v>0</v>
      </c>
      <c r="K147" s="505"/>
      <c r="L147" s="513"/>
      <c r="M147" s="505">
        <f t="shared" si="35"/>
        <v>0</v>
      </c>
      <c r="N147" s="513"/>
      <c r="O147" s="505">
        <f t="shared" si="36"/>
        <v>0</v>
      </c>
      <c r="P147" s="505">
        <f t="shared" si="37"/>
        <v>0</v>
      </c>
    </row>
    <row r="148" spans="2:16" ht="12.5">
      <c r="B148" s="145" t="str">
        <f t="shared" si="18"/>
        <v/>
      </c>
      <c r="C148" s="496">
        <f>IF(D94="","-",+C147+1)</f>
        <v>2066</v>
      </c>
      <c r="D148" s="350">
        <f>IF(F147+SUM(E$100:E147)=D$93,F147,D$93-SUM(E$100:E147))</f>
        <v>0</v>
      </c>
      <c r="E148" s="510">
        <f t="shared" si="28"/>
        <v>0</v>
      </c>
      <c r="F148" s="511">
        <f t="shared" si="29"/>
        <v>0</v>
      </c>
      <c r="G148" s="511">
        <f t="shared" si="30"/>
        <v>0</v>
      </c>
      <c r="H148" s="645">
        <f t="shared" si="31"/>
        <v>0</v>
      </c>
      <c r="I148" s="628">
        <f t="shared" si="32"/>
        <v>0</v>
      </c>
      <c r="J148" s="505">
        <f t="shared" si="34"/>
        <v>0</v>
      </c>
      <c r="K148" s="505"/>
      <c r="L148" s="513"/>
      <c r="M148" s="505">
        <f t="shared" si="35"/>
        <v>0</v>
      </c>
      <c r="N148" s="513"/>
      <c r="O148" s="505">
        <f t="shared" si="36"/>
        <v>0</v>
      </c>
      <c r="P148" s="505">
        <f t="shared" si="37"/>
        <v>0</v>
      </c>
    </row>
    <row r="149" spans="2:16" ht="12.5">
      <c r="B149" s="145" t="str">
        <f t="shared" si="18"/>
        <v/>
      </c>
      <c r="C149" s="496">
        <f>IF(D94="","-",+C148+1)</f>
        <v>2067</v>
      </c>
      <c r="D149" s="350">
        <f>IF(F148+SUM(E$100:E148)=D$93,F148,D$93-SUM(E$100:E148))</f>
        <v>0</v>
      </c>
      <c r="E149" s="510">
        <f t="shared" si="28"/>
        <v>0</v>
      </c>
      <c r="F149" s="511">
        <f t="shared" si="29"/>
        <v>0</v>
      </c>
      <c r="G149" s="511">
        <f t="shared" si="30"/>
        <v>0</v>
      </c>
      <c r="H149" s="645">
        <f t="shared" si="31"/>
        <v>0</v>
      </c>
      <c r="I149" s="628">
        <f t="shared" si="32"/>
        <v>0</v>
      </c>
      <c r="J149" s="505">
        <f t="shared" si="34"/>
        <v>0</v>
      </c>
      <c r="K149" s="505"/>
      <c r="L149" s="513"/>
      <c r="M149" s="505">
        <f t="shared" si="35"/>
        <v>0</v>
      </c>
      <c r="N149" s="513"/>
      <c r="O149" s="505">
        <f t="shared" si="36"/>
        <v>0</v>
      </c>
      <c r="P149" s="505">
        <f t="shared" si="37"/>
        <v>0</v>
      </c>
    </row>
    <row r="150" spans="2:16" ht="12.5">
      <c r="B150" s="145" t="str">
        <f t="shared" si="18"/>
        <v/>
      </c>
      <c r="C150" s="496">
        <f>IF(D94="","-",+C149+1)</f>
        <v>2068</v>
      </c>
      <c r="D150" s="350">
        <f>IF(F149+SUM(E$100:E149)=D$93,F149,D$93-SUM(E$100:E149))</f>
        <v>0</v>
      </c>
      <c r="E150" s="510">
        <f t="shared" si="28"/>
        <v>0</v>
      </c>
      <c r="F150" s="511">
        <f t="shared" si="29"/>
        <v>0</v>
      </c>
      <c r="G150" s="511">
        <f t="shared" si="30"/>
        <v>0</v>
      </c>
      <c r="H150" s="645">
        <f t="shared" si="31"/>
        <v>0</v>
      </c>
      <c r="I150" s="628">
        <f t="shared" si="32"/>
        <v>0</v>
      </c>
      <c r="J150" s="505">
        <f t="shared" si="34"/>
        <v>0</v>
      </c>
      <c r="K150" s="505"/>
      <c r="L150" s="513"/>
      <c r="M150" s="505">
        <f t="shared" si="35"/>
        <v>0</v>
      </c>
      <c r="N150" s="513"/>
      <c r="O150" s="505">
        <f t="shared" si="36"/>
        <v>0</v>
      </c>
      <c r="P150" s="505">
        <f t="shared" si="37"/>
        <v>0</v>
      </c>
    </row>
    <row r="151" spans="2:16" ht="12.5">
      <c r="B151" s="145" t="str">
        <f t="shared" si="18"/>
        <v/>
      </c>
      <c r="C151" s="496">
        <f>IF(D94="","-",+C150+1)</f>
        <v>2069</v>
      </c>
      <c r="D151" s="350">
        <f>IF(F150+SUM(E$100:E150)=D$93,F150,D$93-SUM(E$100:E150))</f>
        <v>0</v>
      </c>
      <c r="E151" s="510">
        <f t="shared" si="28"/>
        <v>0</v>
      </c>
      <c r="F151" s="511">
        <f t="shared" si="29"/>
        <v>0</v>
      </c>
      <c r="G151" s="511">
        <f t="shared" si="30"/>
        <v>0</v>
      </c>
      <c r="H151" s="645">
        <f t="shared" si="31"/>
        <v>0</v>
      </c>
      <c r="I151" s="628">
        <f t="shared" si="32"/>
        <v>0</v>
      </c>
      <c r="J151" s="505">
        <f t="shared" si="34"/>
        <v>0</v>
      </c>
      <c r="K151" s="505"/>
      <c r="L151" s="513"/>
      <c r="M151" s="505">
        <f t="shared" si="35"/>
        <v>0</v>
      </c>
      <c r="N151" s="513"/>
      <c r="O151" s="505">
        <f t="shared" si="36"/>
        <v>0</v>
      </c>
      <c r="P151" s="505">
        <f t="shared" si="37"/>
        <v>0</v>
      </c>
    </row>
    <row r="152" spans="2:16" ht="12.5">
      <c r="B152" s="145" t="str">
        <f t="shared" si="18"/>
        <v/>
      </c>
      <c r="C152" s="496">
        <f>IF(D94="","-",+C151+1)</f>
        <v>2070</v>
      </c>
      <c r="D152" s="350">
        <f>IF(F151+SUM(E$100:E151)=D$93,F151,D$93-SUM(E$100:E151))</f>
        <v>0</v>
      </c>
      <c r="E152" s="510">
        <f t="shared" si="28"/>
        <v>0</v>
      </c>
      <c r="F152" s="511">
        <f t="shared" si="29"/>
        <v>0</v>
      </c>
      <c r="G152" s="511">
        <f t="shared" si="30"/>
        <v>0</v>
      </c>
      <c r="H152" s="645">
        <f t="shared" si="31"/>
        <v>0</v>
      </c>
      <c r="I152" s="628">
        <f t="shared" si="32"/>
        <v>0</v>
      </c>
      <c r="J152" s="505">
        <f t="shared" si="34"/>
        <v>0</v>
      </c>
      <c r="K152" s="505"/>
      <c r="L152" s="513"/>
      <c r="M152" s="505">
        <f t="shared" si="35"/>
        <v>0</v>
      </c>
      <c r="N152" s="513"/>
      <c r="O152" s="505">
        <f t="shared" si="36"/>
        <v>0</v>
      </c>
      <c r="P152" s="505">
        <f t="shared" si="37"/>
        <v>0</v>
      </c>
    </row>
    <row r="153" spans="2:16" ht="12.5">
      <c r="B153" s="145" t="str">
        <f t="shared" si="18"/>
        <v/>
      </c>
      <c r="C153" s="496">
        <f>IF(D94="","-",+C152+1)</f>
        <v>2071</v>
      </c>
      <c r="D153" s="350">
        <f>IF(F152+SUM(E$100:E152)=D$93,F152,D$93-SUM(E$100:E152))</f>
        <v>0</v>
      </c>
      <c r="E153" s="510">
        <f t="shared" si="28"/>
        <v>0</v>
      </c>
      <c r="F153" s="511">
        <f t="shared" si="29"/>
        <v>0</v>
      </c>
      <c r="G153" s="511">
        <f t="shared" si="30"/>
        <v>0</v>
      </c>
      <c r="H153" s="645">
        <f t="shared" si="31"/>
        <v>0</v>
      </c>
      <c r="I153" s="628">
        <f t="shared" si="32"/>
        <v>0</v>
      </c>
      <c r="J153" s="505">
        <f t="shared" si="34"/>
        <v>0</v>
      </c>
      <c r="K153" s="505"/>
      <c r="L153" s="513"/>
      <c r="M153" s="505">
        <f t="shared" si="35"/>
        <v>0</v>
      </c>
      <c r="N153" s="513"/>
      <c r="O153" s="505">
        <f t="shared" si="36"/>
        <v>0</v>
      </c>
      <c r="P153" s="505">
        <f t="shared" si="37"/>
        <v>0</v>
      </c>
    </row>
    <row r="154" spans="2:16" ht="12.5">
      <c r="B154" s="145" t="str">
        <f t="shared" si="18"/>
        <v/>
      </c>
      <c r="C154" s="496">
        <f>IF(D94="","-",+C153+1)</f>
        <v>2072</v>
      </c>
      <c r="D154" s="350">
        <f>IF(F153+SUM(E$100:E153)=D$93,F153,D$93-SUM(E$100:E153))</f>
        <v>0</v>
      </c>
      <c r="E154" s="510">
        <f t="shared" si="28"/>
        <v>0</v>
      </c>
      <c r="F154" s="511">
        <f t="shared" si="29"/>
        <v>0</v>
      </c>
      <c r="G154" s="511">
        <f t="shared" si="30"/>
        <v>0</v>
      </c>
      <c r="H154" s="645">
        <f t="shared" si="31"/>
        <v>0</v>
      </c>
      <c r="I154" s="628">
        <f t="shared" si="32"/>
        <v>0</v>
      </c>
      <c r="J154" s="505">
        <f t="shared" si="34"/>
        <v>0</v>
      </c>
      <c r="K154" s="505"/>
      <c r="L154" s="513"/>
      <c r="M154" s="505">
        <f t="shared" si="35"/>
        <v>0</v>
      </c>
      <c r="N154" s="513"/>
      <c r="O154" s="505">
        <f t="shared" si="36"/>
        <v>0</v>
      </c>
      <c r="P154" s="505">
        <f t="shared" si="37"/>
        <v>0</v>
      </c>
    </row>
    <row r="155" spans="2:16" ht="13" thickBot="1">
      <c r="B155" s="145" t="str">
        <f t="shared" si="18"/>
        <v/>
      </c>
      <c r="C155" s="525">
        <f>IF(D94="","-",+C154+1)</f>
        <v>2073</v>
      </c>
      <c r="D155" s="636">
        <f>IF(F154+SUM(E$100:E154)=D$93,F154,D$93-SUM(E$100:E154))</f>
        <v>0</v>
      </c>
      <c r="E155" s="527">
        <f t="shared" si="28"/>
        <v>0</v>
      </c>
      <c r="F155" s="528">
        <f t="shared" si="29"/>
        <v>0</v>
      </c>
      <c r="G155" s="528">
        <f t="shared" si="30"/>
        <v>0</v>
      </c>
      <c r="H155" s="645">
        <f t="shared" si="31"/>
        <v>0</v>
      </c>
      <c r="I155" s="624">
        <f t="shared" si="32"/>
        <v>0</v>
      </c>
      <c r="J155" s="532">
        <f t="shared" si="34"/>
        <v>0</v>
      </c>
      <c r="K155" s="505"/>
      <c r="L155" s="531"/>
      <c r="M155" s="532">
        <f t="shared" si="35"/>
        <v>0</v>
      </c>
      <c r="N155" s="531"/>
      <c r="O155" s="532">
        <f t="shared" si="36"/>
        <v>0</v>
      </c>
      <c r="P155" s="532">
        <f t="shared" si="37"/>
        <v>0</v>
      </c>
    </row>
    <row r="156" spans="2:16" ht="12.5">
      <c r="C156" s="350" t="s">
        <v>75</v>
      </c>
      <c r="D156" s="295"/>
      <c r="E156" s="295">
        <f>SUM(E100:E155)</f>
        <v>8934664.3900000006</v>
      </c>
      <c r="F156" s="295"/>
      <c r="G156" s="295"/>
      <c r="H156" s="295">
        <f>SUM(H100:H155)</f>
        <v>19488521.54126709</v>
      </c>
      <c r="I156" s="295">
        <f>SUM(I100:I155)</f>
        <v>19488521.54126709</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17" priority="2" stopIfTrue="1" operator="equal">
      <formula>$I$10</formula>
    </cfRule>
  </conditionalFormatting>
  <conditionalFormatting sqref="C100:C155">
    <cfRule type="cellIs" dxfId="16" priority="3" stopIfTrue="1" operator="equal">
      <formula>$J$93</formula>
    </cfRule>
  </conditionalFormatting>
  <conditionalFormatting sqref="C72">
    <cfRule type="cellIs" dxfId="15" priority="1" stopIfTrue="1" operator="equal">
      <formula>$I$10</formula>
    </cfRule>
  </conditionalFormatting>
  <pageMargins left="0.5" right="0.25" top="1" bottom="0.25" header="0.25" footer="0.5"/>
  <pageSetup scale="47" orientation="landscape" r:id="rId1"/>
  <headerFooter>
    <oddHeader xml:space="preserve">&amp;R&amp;16AEPTCo - SPP Formula Rate
&amp;A TCOS - Worksheets F and G
Section IV -- (BPU Project Tables)
Page: &amp;P of &amp;N&amp;10
</oddHeader>
    <oddFooter>&amp;L&amp;A</oddFooter>
  </headerFooter>
  <rowBreaks count="1" manualBreakCount="1">
    <brk id="8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163"/>
  <sheetViews>
    <sheetView topLeftCell="A67" zoomScale="80" zoomScaleNormal="80" workbookViewId="0">
      <selection activeCell="J93" sqref="J93"/>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9.1796875" style="145" customWidth="1"/>
    <col min="18" max="22" width="8.7265625" style="145"/>
    <col min="23" max="23" width="9.1796875" style="145" customWidth="1"/>
    <col min="24" max="16384" width="8.7265625" style="145"/>
  </cols>
  <sheetData>
    <row r="1" spans="1:16" ht="20">
      <c r="A1" s="438" t="s">
        <v>189</v>
      </c>
      <c r="B1" s="244"/>
      <c r="C1" s="249"/>
      <c r="D1" s="293"/>
      <c r="E1" s="244"/>
      <c r="F1" s="340"/>
      <c r="G1" s="244"/>
      <c r="H1" s="326"/>
      <c r="J1" s="221"/>
      <c r="K1" s="439"/>
      <c r="L1" s="439"/>
      <c r="M1" s="439"/>
      <c r="P1" s="440" t="str">
        <f ca="1">"OKT Project "&amp;RIGHT(MID(CELL("filename",$A$1),FIND("]",CELL("filename",$A$1))+1,256),2)&amp;" of "&amp;COUNT('OKT.001:OKT.xyz - blank'!$P$3)-1</f>
        <v>OKT Project 20 of 23</v>
      </c>
    </row>
    <row r="2" spans="1:16" ht="17.5">
      <c r="B2" s="244"/>
      <c r="C2" s="244"/>
      <c r="D2" s="293"/>
      <c r="E2" s="244"/>
      <c r="F2" s="244"/>
      <c r="G2" s="244"/>
      <c r="H2" s="326"/>
      <c r="I2" s="244"/>
      <c r="J2" s="279"/>
      <c r="K2" s="244"/>
      <c r="L2" s="244"/>
      <c r="M2" s="244"/>
      <c r="N2" s="244"/>
      <c r="P2" s="442" t="s">
        <v>131</v>
      </c>
    </row>
    <row r="3" spans="1:16" ht="18">
      <c r="B3" s="234" t="s">
        <v>42</v>
      </c>
      <c r="C3" s="306" t="s">
        <v>43</v>
      </c>
      <c r="D3" s="293"/>
      <c r="E3" s="244"/>
      <c r="F3" s="244"/>
      <c r="G3" s="244"/>
      <c r="H3" s="326"/>
      <c r="I3" s="326"/>
      <c r="J3" s="295"/>
      <c r="K3" s="326"/>
      <c r="L3" s="326"/>
      <c r="M3" s="326"/>
      <c r="N3" s="326"/>
      <c r="O3" s="244"/>
      <c r="P3" s="578">
        <v>1</v>
      </c>
    </row>
    <row r="4" spans="1:16" ht="16" thickBot="1">
      <c r="C4" s="305"/>
      <c r="D4" s="293"/>
      <c r="E4" s="244"/>
      <c r="F4" s="244"/>
      <c r="G4" s="244"/>
      <c r="H4" s="326"/>
      <c r="I4" s="326"/>
      <c r="J4" s="295"/>
      <c r="K4" s="326"/>
      <c r="L4" s="326"/>
      <c r="M4" s="326"/>
      <c r="N4" s="326"/>
      <c r="O4" s="244"/>
      <c r="P4" s="244"/>
    </row>
    <row r="5" spans="1:16" ht="15.5">
      <c r="C5" s="444" t="s">
        <v>44</v>
      </c>
      <c r="D5" s="293"/>
      <c r="E5" s="244"/>
      <c r="F5" s="244"/>
      <c r="G5" s="445"/>
      <c r="H5" s="244" t="s">
        <v>45</v>
      </c>
      <c r="I5" s="244"/>
      <c r="J5" s="279"/>
      <c r="K5" s="446" t="s">
        <v>242</v>
      </c>
      <c r="L5" s="447"/>
      <c r="M5" s="448"/>
      <c r="N5" s="449">
        <f>VLOOKUP(I10,C17:I73,5)</f>
        <v>496616.13885375595</v>
      </c>
      <c r="P5" s="244"/>
    </row>
    <row r="6" spans="1:16" ht="15.5">
      <c r="C6" s="236"/>
      <c r="D6" s="293"/>
      <c r="E6" s="244"/>
      <c r="F6" s="244"/>
      <c r="G6" s="244"/>
      <c r="H6" s="450"/>
      <c r="I6" s="450"/>
      <c r="J6" s="451"/>
      <c r="K6" s="452" t="s">
        <v>243</v>
      </c>
      <c r="L6" s="453"/>
      <c r="M6" s="279"/>
      <c r="N6" s="454">
        <f>VLOOKUP(I10,C17:I73,6)</f>
        <v>496616.13885375595</v>
      </c>
      <c r="O6" s="244"/>
      <c r="P6" s="244"/>
    </row>
    <row r="7" spans="1:16" ht="13.5" thickBot="1">
      <c r="C7" s="455" t="s">
        <v>46</v>
      </c>
      <c r="D7" s="635" t="s">
        <v>290</v>
      </c>
      <c r="E7" s="244"/>
      <c r="F7" s="244"/>
      <c r="G7" s="244"/>
      <c r="H7" s="326"/>
      <c r="I7" s="326"/>
      <c r="J7" s="295"/>
      <c r="K7" s="457" t="s">
        <v>47</v>
      </c>
      <c r="L7" s="458"/>
      <c r="M7" s="458"/>
      <c r="N7" s="459">
        <f>+N6-N5</f>
        <v>0</v>
      </c>
      <c r="O7" s="244"/>
      <c r="P7" s="244"/>
    </row>
    <row r="8" spans="1:16" ht="13.5" thickBot="1">
      <c r="C8" s="460"/>
      <c r="D8" s="461"/>
      <c r="E8" s="462"/>
      <c r="F8" s="462"/>
      <c r="G8" s="462"/>
      <c r="H8" s="462"/>
      <c r="I8" s="462"/>
      <c r="J8" s="644"/>
      <c r="K8" s="462"/>
      <c r="L8" s="462"/>
      <c r="M8" s="462"/>
      <c r="N8" s="462"/>
      <c r="O8" s="644"/>
      <c r="P8" s="249"/>
    </row>
    <row r="9" spans="1:16" ht="13.5" thickBot="1">
      <c r="C9" s="464" t="s">
        <v>48</v>
      </c>
      <c r="D9" s="465" t="s">
        <v>291</v>
      </c>
      <c r="E9" s="466"/>
      <c r="F9" s="466"/>
      <c r="G9" s="466"/>
      <c r="H9" s="466"/>
      <c r="I9" s="467"/>
      <c r="J9" s="468"/>
      <c r="O9" s="469"/>
      <c r="P9" s="279"/>
    </row>
    <row r="10" spans="1:16" ht="13">
      <c r="C10" s="470" t="s">
        <v>49</v>
      </c>
      <c r="D10" s="471">
        <v>3721554.18</v>
      </c>
      <c r="E10" s="300" t="s">
        <v>50</v>
      </c>
      <c r="F10" s="469"/>
      <c r="G10" s="409"/>
      <c r="H10" s="409"/>
      <c r="I10" s="472">
        <f>+'OKT.WS.F.BPU.ATRR.Projected'!R100</f>
        <v>2022</v>
      </c>
      <c r="J10" s="468"/>
      <c r="K10" s="295" t="s">
        <v>51</v>
      </c>
      <c r="O10" s="279"/>
      <c r="P10" s="279"/>
    </row>
    <row r="11" spans="1:16" ht="12.5">
      <c r="C11" s="473" t="s">
        <v>52</v>
      </c>
      <c r="D11" s="474">
        <v>2020</v>
      </c>
      <c r="E11" s="473" t="s">
        <v>53</v>
      </c>
      <c r="F11" s="409"/>
      <c r="G11" s="221"/>
      <c r="H11" s="221"/>
      <c r="I11" s="475">
        <f>IF(G5="",0,'OKT.WS.F.BPU.ATRR.Projected'!F$13)</f>
        <v>0</v>
      </c>
      <c r="J11" s="476"/>
      <c r="K11" s="145" t="str">
        <f>"          INPUT PROJECTED ARR (WITH &amp; WITHOUT INCENTIVES) FROM EACH PRIOR YEAR"</f>
        <v xml:space="preserve">          INPUT PROJECTED ARR (WITH &amp; WITHOUT INCENTIVES) FROM EACH PRIOR YEAR</v>
      </c>
      <c r="O11" s="279"/>
      <c r="P11" s="279"/>
    </row>
    <row r="12" spans="1:16" ht="12.5">
      <c r="C12" s="473" t="s">
        <v>54</v>
      </c>
      <c r="D12" s="471">
        <v>6</v>
      </c>
      <c r="E12" s="473" t="s">
        <v>55</v>
      </c>
      <c r="F12" s="409"/>
      <c r="G12" s="221"/>
      <c r="H12" s="221"/>
      <c r="I12" s="477">
        <f>'OKT.WS.F.BPU.ATRR.Projected'!$F$78</f>
        <v>0.11475877389767174</v>
      </c>
      <c r="J12" s="414"/>
      <c r="K12" s="145" t="s">
        <v>56</v>
      </c>
      <c r="O12" s="279"/>
      <c r="P12" s="279"/>
    </row>
    <row r="13" spans="1:16"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row>
    <row r="14" spans="1:16" ht="13" thickBot="1">
      <c r="C14" s="473" t="s">
        <v>60</v>
      </c>
      <c r="D14" s="474" t="s">
        <v>61</v>
      </c>
      <c r="E14" s="279" t="s">
        <v>62</v>
      </c>
      <c r="F14" s="409"/>
      <c r="G14" s="221"/>
      <c r="H14" s="221"/>
      <c r="I14" s="478">
        <f>IF(D10=0,0,D10/D13)</f>
        <v>112774.36909090909</v>
      </c>
      <c r="J14" s="295"/>
      <c r="K14" s="295"/>
      <c r="L14" s="295"/>
      <c r="M14" s="295"/>
      <c r="N14" s="295"/>
      <c r="O14" s="279"/>
      <c r="P14" s="279"/>
    </row>
    <row r="15" spans="1:16"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row>
    <row r="16" spans="1:16"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row>
    <row r="17" spans="2:16" ht="12.5">
      <c r="B17" s="145" t="str">
        <f t="shared" ref="B17:B71" si="0">IF(D17=F16,"","IU")</f>
        <v>IU</v>
      </c>
      <c r="C17" s="496">
        <f>IF(D11= "","-",D11)</f>
        <v>2020</v>
      </c>
      <c r="D17" s="639">
        <v>0</v>
      </c>
      <c r="E17" s="641">
        <v>51872.674102418707</v>
      </c>
      <c r="F17" s="641">
        <v>3491127.3258975814</v>
      </c>
      <c r="G17" s="641">
        <v>235038.97436975082</v>
      </c>
      <c r="H17" s="641">
        <v>235038.97436975082</v>
      </c>
      <c r="I17" s="501">
        <f t="shared" ref="I17:I71" si="1">H17-G17</f>
        <v>0</v>
      </c>
      <c r="J17" s="501"/>
      <c r="K17" s="502">
        <f>+G17</f>
        <v>235038.97436975082</v>
      </c>
      <c r="L17" s="504">
        <f t="shared" ref="L17:L71" si="2">IF(K17&lt;&gt;0,+G17-K17,0)</f>
        <v>0</v>
      </c>
      <c r="M17" s="502">
        <f>+H17</f>
        <v>235038.97436975082</v>
      </c>
      <c r="N17" s="504">
        <f t="shared" ref="N17:N71" si="3">IF(M17&lt;&gt;0,+H17-M17,0)</f>
        <v>0</v>
      </c>
      <c r="O17" s="505">
        <f t="shared" ref="O17:O71" si="4">+N17-L17</f>
        <v>0</v>
      </c>
      <c r="P17" s="279"/>
    </row>
    <row r="18" spans="2:16" ht="12.5">
      <c r="B18" s="145" t="str">
        <f t="shared" si="0"/>
        <v>IU</v>
      </c>
      <c r="C18" s="496">
        <f>IF(D11="","-",+C17+1)</f>
        <v>2021</v>
      </c>
      <c r="D18" s="615">
        <v>3889537.3258975814</v>
      </c>
      <c r="E18" s="614">
        <v>127142.25806451614</v>
      </c>
      <c r="F18" s="615">
        <v>3762395.0678330651</v>
      </c>
      <c r="G18" s="614">
        <v>541054.66812252079</v>
      </c>
      <c r="H18" s="618">
        <v>541054.66812252079</v>
      </c>
      <c r="I18" s="501">
        <f t="shared" si="1"/>
        <v>0</v>
      </c>
      <c r="J18" s="501"/>
      <c r="K18" s="593">
        <f>+G18</f>
        <v>541054.66812252079</v>
      </c>
      <c r="L18" s="597">
        <f t="shared" si="2"/>
        <v>0</v>
      </c>
      <c r="M18" s="593">
        <f>+H18</f>
        <v>541054.66812252079</v>
      </c>
      <c r="N18" s="505">
        <f t="shared" si="3"/>
        <v>0</v>
      </c>
      <c r="O18" s="505">
        <f t="shared" si="4"/>
        <v>0</v>
      </c>
      <c r="P18" s="279"/>
    </row>
    <row r="19" spans="2:16" ht="12.5">
      <c r="B19" s="145" t="str">
        <f t="shared" si="0"/>
        <v>IU</v>
      </c>
      <c r="C19" s="496">
        <f>IF(D11="","-",+C18+1)</f>
        <v>2022</v>
      </c>
      <c r="D19" s="615">
        <v>3429335.0678330651</v>
      </c>
      <c r="E19" s="614">
        <v>109343.93939393939</v>
      </c>
      <c r="F19" s="615">
        <v>3319991.1284391256</v>
      </c>
      <c r="G19" s="614">
        <v>496616.13885375595</v>
      </c>
      <c r="H19" s="618">
        <v>496616.13885375595</v>
      </c>
      <c r="I19" s="501">
        <f t="shared" si="1"/>
        <v>0</v>
      </c>
      <c r="J19" s="501"/>
      <c r="K19" s="593">
        <f>+G19</f>
        <v>496616.13885375595</v>
      </c>
      <c r="L19" s="597">
        <f t="shared" ref="L19" si="5">IF(K19&lt;&gt;0,+G19-K19,0)</f>
        <v>0</v>
      </c>
      <c r="M19" s="593">
        <f>+H19</f>
        <v>496616.13885375595</v>
      </c>
      <c r="N19" s="505">
        <f t="shared" si="3"/>
        <v>0</v>
      </c>
      <c r="O19" s="505">
        <f t="shared" si="4"/>
        <v>0</v>
      </c>
      <c r="P19" s="279"/>
    </row>
    <row r="20" spans="2:16" ht="12.5">
      <c r="B20" s="145" t="str">
        <f t="shared" si="0"/>
        <v>IU</v>
      </c>
      <c r="C20" s="496">
        <f>IF(D11="","-",+C19+1)</f>
        <v>2023</v>
      </c>
      <c r="D20" s="615">
        <v>3294237.4384391252</v>
      </c>
      <c r="E20" s="614">
        <v>115567.6229032258</v>
      </c>
      <c r="F20" s="615">
        <v>3178669.8155358993</v>
      </c>
      <c r="G20" s="614">
        <v>481393.21655361552</v>
      </c>
      <c r="H20" s="618">
        <v>481393.21655361552</v>
      </c>
      <c r="I20" s="501">
        <f t="shared" si="1"/>
        <v>0</v>
      </c>
      <c r="J20" s="501"/>
      <c r="K20" s="593">
        <f>+G20</f>
        <v>481393.21655361552</v>
      </c>
      <c r="L20" s="597">
        <f t="shared" ref="L20" si="6">IF(K20&lt;&gt;0,+G20-K20,0)</f>
        <v>0</v>
      </c>
      <c r="M20" s="593">
        <f>+H20</f>
        <v>481393.21655361552</v>
      </c>
      <c r="N20" s="505">
        <f t="shared" si="3"/>
        <v>0</v>
      </c>
      <c r="O20" s="505">
        <f t="shared" si="4"/>
        <v>0</v>
      </c>
      <c r="P20" s="279"/>
    </row>
    <row r="21" spans="2:16" ht="12.5">
      <c r="B21" s="145" t="str">
        <f t="shared" si="0"/>
        <v>IU</v>
      </c>
      <c r="C21" s="496">
        <f>IF(D11="","-",+C20+1)</f>
        <v>2024</v>
      </c>
      <c r="D21" s="509">
        <f>IF(F20+SUM(E$17:E20)=D$10,F20,D$10-SUM(E$17:E20))</f>
        <v>3317627.6855359003</v>
      </c>
      <c r="E21" s="510">
        <f t="shared" ref="E21:E71" si="7">IF(+I$14&lt;F20,I$14,D21)</f>
        <v>112774.36909090909</v>
      </c>
      <c r="F21" s="511">
        <f t="shared" ref="F21:F71" si="8">+D21-E21</f>
        <v>3204853.3164449912</v>
      </c>
      <c r="G21" s="512">
        <f t="shared" ref="G21:G71" si="9">(D21+F21)/2*I$12+E21</f>
        <v>487030.33037000132</v>
      </c>
      <c r="H21" s="478">
        <f t="shared" ref="H21:H71" si="10">+(D21+F21)/2*I$13+E21</f>
        <v>487030.33037000132</v>
      </c>
      <c r="I21" s="501">
        <f t="shared" si="1"/>
        <v>0</v>
      </c>
      <c r="J21" s="501"/>
      <c r="K21" s="513"/>
      <c r="L21" s="505">
        <f t="shared" si="2"/>
        <v>0</v>
      </c>
      <c r="M21" s="513"/>
      <c r="N21" s="505">
        <f t="shared" si="3"/>
        <v>0</v>
      </c>
      <c r="O21" s="505">
        <f t="shared" si="4"/>
        <v>0</v>
      </c>
      <c r="P21" s="279"/>
    </row>
    <row r="22" spans="2:16" ht="12.5">
      <c r="B22" s="145" t="str">
        <f t="shared" si="0"/>
        <v/>
      </c>
      <c r="C22" s="496">
        <f>IF(D11="","-",+C21+1)</f>
        <v>2025</v>
      </c>
      <c r="D22" s="509">
        <f>IF(F21+SUM(E$17:E21)=D$10,F21,D$10-SUM(E$17:E21))</f>
        <v>3204853.3164449912</v>
      </c>
      <c r="E22" s="510">
        <f t="shared" si="7"/>
        <v>112774.36909090909</v>
      </c>
      <c r="F22" s="511">
        <f t="shared" si="8"/>
        <v>3092078.947354082</v>
      </c>
      <c r="G22" s="512">
        <f t="shared" si="9"/>
        <v>474088.48204604513</v>
      </c>
      <c r="H22" s="478">
        <f t="shared" si="10"/>
        <v>474088.48204604513</v>
      </c>
      <c r="I22" s="501">
        <f t="shared" si="1"/>
        <v>0</v>
      </c>
      <c r="J22" s="501"/>
      <c r="K22" s="513"/>
      <c r="L22" s="505">
        <f t="shared" si="2"/>
        <v>0</v>
      </c>
      <c r="M22" s="513"/>
      <c r="N22" s="505">
        <f t="shared" si="3"/>
        <v>0</v>
      </c>
      <c r="O22" s="505">
        <f t="shared" si="4"/>
        <v>0</v>
      </c>
      <c r="P22" s="279"/>
    </row>
    <row r="23" spans="2:16" ht="12.5">
      <c r="B23" s="145" t="str">
        <f t="shared" si="0"/>
        <v/>
      </c>
      <c r="C23" s="496">
        <f>IF(D11="","-",+C22+1)</f>
        <v>2026</v>
      </c>
      <c r="D23" s="509">
        <f>IF(F22+SUM(E$17:E22)=D$10,F22,D$10-SUM(E$17:E22))</f>
        <v>3092078.947354082</v>
      </c>
      <c r="E23" s="510">
        <f t="shared" si="7"/>
        <v>112774.36909090909</v>
      </c>
      <c r="F23" s="511">
        <f t="shared" si="8"/>
        <v>2979304.5782631729</v>
      </c>
      <c r="G23" s="512">
        <f t="shared" si="9"/>
        <v>461146.63372208888</v>
      </c>
      <c r="H23" s="478">
        <f t="shared" si="10"/>
        <v>461146.63372208888</v>
      </c>
      <c r="I23" s="501">
        <f t="shared" si="1"/>
        <v>0</v>
      </c>
      <c r="J23" s="501"/>
      <c r="K23" s="513"/>
      <c r="L23" s="505">
        <f t="shared" si="2"/>
        <v>0</v>
      </c>
      <c r="M23" s="513"/>
      <c r="N23" s="505">
        <f t="shared" si="3"/>
        <v>0</v>
      </c>
      <c r="O23" s="505">
        <f t="shared" si="4"/>
        <v>0</v>
      </c>
      <c r="P23" s="279"/>
    </row>
    <row r="24" spans="2:16" ht="12.5">
      <c r="B24" s="145" t="str">
        <f t="shared" si="0"/>
        <v/>
      </c>
      <c r="C24" s="496">
        <f>IF(D11="","-",+C23+1)</f>
        <v>2027</v>
      </c>
      <c r="D24" s="509">
        <f>IF(F23+SUM(E$17:E23)=D$10,F23,D$10-SUM(E$17:E23))</f>
        <v>2979304.5782631729</v>
      </c>
      <c r="E24" s="510">
        <f t="shared" si="7"/>
        <v>112774.36909090909</v>
      </c>
      <c r="F24" s="511">
        <f t="shared" si="8"/>
        <v>2866530.2091722637</v>
      </c>
      <c r="G24" s="512">
        <f t="shared" si="9"/>
        <v>448204.78539813269</v>
      </c>
      <c r="H24" s="478">
        <f t="shared" si="10"/>
        <v>448204.78539813269</v>
      </c>
      <c r="I24" s="501">
        <f t="shared" si="1"/>
        <v>0</v>
      </c>
      <c r="J24" s="501"/>
      <c r="K24" s="513"/>
      <c r="L24" s="505">
        <f t="shared" si="2"/>
        <v>0</v>
      </c>
      <c r="M24" s="513"/>
      <c r="N24" s="505">
        <f t="shared" si="3"/>
        <v>0</v>
      </c>
      <c r="O24" s="505">
        <f t="shared" si="4"/>
        <v>0</v>
      </c>
      <c r="P24" s="279"/>
    </row>
    <row r="25" spans="2:16" ht="12.5">
      <c r="B25" s="145" t="str">
        <f t="shared" si="0"/>
        <v/>
      </c>
      <c r="C25" s="496">
        <f>IF(D11="","-",+C24+1)</f>
        <v>2028</v>
      </c>
      <c r="D25" s="509">
        <f>IF(F24+SUM(E$17:E24)=D$10,F24,D$10-SUM(E$17:E24))</f>
        <v>2866530.2091722637</v>
      </c>
      <c r="E25" s="510">
        <f t="shared" si="7"/>
        <v>112774.36909090909</v>
      </c>
      <c r="F25" s="511">
        <f t="shared" si="8"/>
        <v>2753755.8400813546</v>
      </c>
      <c r="G25" s="512">
        <f t="shared" si="9"/>
        <v>435262.93707417644</v>
      </c>
      <c r="H25" s="478">
        <f t="shared" si="10"/>
        <v>435262.93707417644</v>
      </c>
      <c r="I25" s="501">
        <f t="shared" si="1"/>
        <v>0</v>
      </c>
      <c r="J25" s="501"/>
      <c r="K25" s="513"/>
      <c r="L25" s="505">
        <f t="shared" si="2"/>
        <v>0</v>
      </c>
      <c r="M25" s="513"/>
      <c r="N25" s="505">
        <f t="shared" si="3"/>
        <v>0</v>
      </c>
      <c r="O25" s="505">
        <f t="shared" si="4"/>
        <v>0</v>
      </c>
      <c r="P25" s="279"/>
    </row>
    <row r="26" spans="2:16" ht="12.5">
      <c r="B26" s="145" t="str">
        <f t="shared" si="0"/>
        <v/>
      </c>
      <c r="C26" s="496">
        <f>IF(D11="","-",+C25+1)</f>
        <v>2029</v>
      </c>
      <c r="D26" s="509">
        <f>IF(F25+SUM(E$17:E25)=D$10,F25,D$10-SUM(E$17:E25))</f>
        <v>2753755.8400813546</v>
      </c>
      <c r="E26" s="510">
        <f t="shared" si="7"/>
        <v>112774.36909090909</v>
      </c>
      <c r="F26" s="511">
        <f t="shared" si="8"/>
        <v>2640981.4709904455</v>
      </c>
      <c r="G26" s="512">
        <f t="shared" si="9"/>
        <v>422321.08875022025</v>
      </c>
      <c r="H26" s="478">
        <f t="shared" si="10"/>
        <v>422321.08875022025</v>
      </c>
      <c r="I26" s="501">
        <f t="shared" si="1"/>
        <v>0</v>
      </c>
      <c r="J26" s="501"/>
      <c r="K26" s="513"/>
      <c r="L26" s="505">
        <f t="shared" si="2"/>
        <v>0</v>
      </c>
      <c r="M26" s="513"/>
      <c r="N26" s="505">
        <f t="shared" si="3"/>
        <v>0</v>
      </c>
      <c r="O26" s="505">
        <f t="shared" si="4"/>
        <v>0</v>
      </c>
      <c r="P26" s="279"/>
    </row>
    <row r="27" spans="2:16" ht="12.5">
      <c r="B27" s="145" t="str">
        <f t="shared" si="0"/>
        <v/>
      </c>
      <c r="C27" s="496">
        <f>IF(D11="","-",+C26+1)</f>
        <v>2030</v>
      </c>
      <c r="D27" s="509">
        <f>IF(F26+SUM(E$17:E26)=D$10,F26,D$10-SUM(E$17:E26))</f>
        <v>2640981.4709904455</v>
      </c>
      <c r="E27" s="510">
        <f t="shared" si="7"/>
        <v>112774.36909090909</v>
      </c>
      <c r="F27" s="511">
        <f t="shared" si="8"/>
        <v>2528207.1018995363</v>
      </c>
      <c r="G27" s="512">
        <f t="shared" si="9"/>
        <v>409379.240426264</v>
      </c>
      <c r="H27" s="478">
        <f t="shared" si="10"/>
        <v>409379.240426264</v>
      </c>
      <c r="I27" s="501">
        <f t="shared" si="1"/>
        <v>0</v>
      </c>
      <c r="J27" s="501"/>
      <c r="K27" s="513"/>
      <c r="L27" s="505">
        <f t="shared" si="2"/>
        <v>0</v>
      </c>
      <c r="M27" s="513"/>
      <c r="N27" s="505">
        <f t="shared" si="3"/>
        <v>0</v>
      </c>
      <c r="O27" s="505">
        <f t="shared" si="4"/>
        <v>0</v>
      </c>
      <c r="P27" s="279"/>
    </row>
    <row r="28" spans="2:16" ht="12.5">
      <c r="B28" s="145" t="str">
        <f t="shared" si="0"/>
        <v/>
      </c>
      <c r="C28" s="496">
        <f>IF(D11="","-",+C27+1)</f>
        <v>2031</v>
      </c>
      <c r="D28" s="509">
        <f>IF(F27+SUM(E$17:E27)=D$10,F27,D$10-SUM(E$17:E27))</f>
        <v>2528207.1018995363</v>
      </c>
      <c r="E28" s="510">
        <f t="shared" si="7"/>
        <v>112774.36909090909</v>
      </c>
      <c r="F28" s="511">
        <f t="shared" si="8"/>
        <v>2415432.7328086272</v>
      </c>
      <c r="G28" s="512">
        <f t="shared" si="9"/>
        <v>396437.39210230781</v>
      </c>
      <c r="H28" s="478">
        <f t="shared" si="10"/>
        <v>396437.39210230781</v>
      </c>
      <c r="I28" s="501">
        <f t="shared" si="1"/>
        <v>0</v>
      </c>
      <c r="J28" s="501"/>
      <c r="K28" s="513"/>
      <c r="L28" s="505">
        <f t="shared" si="2"/>
        <v>0</v>
      </c>
      <c r="M28" s="513"/>
      <c r="N28" s="505">
        <f t="shared" si="3"/>
        <v>0</v>
      </c>
      <c r="O28" s="505">
        <f t="shared" si="4"/>
        <v>0</v>
      </c>
      <c r="P28" s="279"/>
    </row>
    <row r="29" spans="2:16" ht="12.5">
      <c r="B29" s="145" t="str">
        <f t="shared" si="0"/>
        <v/>
      </c>
      <c r="C29" s="496">
        <f>IF(D11="","-",+C28+1)</f>
        <v>2032</v>
      </c>
      <c r="D29" s="509">
        <f>IF(F28+SUM(E$17:E28)=D$10,F28,D$10-SUM(E$17:E28))</f>
        <v>2415432.7328086272</v>
      </c>
      <c r="E29" s="510">
        <f t="shared" si="7"/>
        <v>112774.36909090909</v>
      </c>
      <c r="F29" s="511">
        <f t="shared" si="8"/>
        <v>2302658.363717718</v>
      </c>
      <c r="G29" s="512">
        <f t="shared" si="9"/>
        <v>383495.54377835157</v>
      </c>
      <c r="H29" s="478">
        <f t="shared" si="10"/>
        <v>383495.54377835157</v>
      </c>
      <c r="I29" s="501">
        <f t="shared" si="1"/>
        <v>0</v>
      </c>
      <c r="J29" s="501"/>
      <c r="K29" s="513"/>
      <c r="L29" s="505">
        <f t="shared" si="2"/>
        <v>0</v>
      </c>
      <c r="M29" s="513"/>
      <c r="N29" s="505">
        <f t="shared" si="3"/>
        <v>0</v>
      </c>
      <c r="O29" s="505">
        <f t="shared" si="4"/>
        <v>0</v>
      </c>
      <c r="P29" s="279"/>
    </row>
    <row r="30" spans="2:16" ht="12.5">
      <c r="B30" s="145" t="str">
        <f t="shared" si="0"/>
        <v/>
      </c>
      <c r="C30" s="496">
        <f>IF(D11="","-",+C29+1)</f>
        <v>2033</v>
      </c>
      <c r="D30" s="509">
        <f>IF(F29+SUM(E$17:E29)=D$10,F29,D$10-SUM(E$17:E29))</f>
        <v>2302658.363717718</v>
      </c>
      <c r="E30" s="510">
        <f t="shared" si="7"/>
        <v>112774.36909090909</v>
      </c>
      <c r="F30" s="511">
        <f t="shared" si="8"/>
        <v>2189883.9946268089</v>
      </c>
      <c r="G30" s="512">
        <f t="shared" si="9"/>
        <v>370553.69545439538</v>
      </c>
      <c r="H30" s="478">
        <f t="shared" si="10"/>
        <v>370553.69545439538</v>
      </c>
      <c r="I30" s="501">
        <f t="shared" si="1"/>
        <v>0</v>
      </c>
      <c r="J30" s="501"/>
      <c r="K30" s="513"/>
      <c r="L30" s="505">
        <f t="shared" si="2"/>
        <v>0</v>
      </c>
      <c r="M30" s="513"/>
      <c r="N30" s="505">
        <f t="shared" si="3"/>
        <v>0</v>
      </c>
      <c r="O30" s="505">
        <f t="shared" si="4"/>
        <v>0</v>
      </c>
      <c r="P30" s="279"/>
    </row>
    <row r="31" spans="2:16" ht="12.5">
      <c r="B31" s="145" t="str">
        <f t="shared" si="0"/>
        <v/>
      </c>
      <c r="C31" s="496">
        <f>IF(D11="","-",+C30+1)</f>
        <v>2034</v>
      </c>
      <c r="D31" s="509">
        <f>IF(F30+SUM(E$17:E30)=D$10,F30,D$10-SUM(E$17:E30))</f>
        <v>2189883.9946268089</v>
      </c>
      <c r="E31" s="510">
        <f t="shared" si="7"/>
        <v>112774.36909090909</v>
      </c>
      <c r="F31" s="511">
        <f t="shared" si="8"/>
        <v>2077109.6255358998</v>
      </c>
      <c r="G31" s="512">
        <f t="shared" si="9"/>
        <v>357611.84713043913</v>
      </c>
      <c r="H31" s="478">
        <f t="shared" si="10"/>
        <v>357611.84713043913</v>
      </c>
      <c r="I31" s="501">
        <f t="shared" si="1"/>
        <v>0</v>
      </c>
      <c r="J31" s="501"/>
      <c r="K31" s="513"/>
      <c r="L31" s="505">
        <f t="shared" si="2"/>
        <v>0</v>
      </c>
      <c r="M31" s="513"/>
      <c r="N31" s="505">
        <f t="shared" si="3"/>
        <v>0</v>
      </c>
      <c r="O31" s="505">
        <f t="shared" si="4"/>
        <v>0</v>
      </c>
      <c r="P31" s="279"/>
    </row>
    <row r="32" spans="2:16" ht="12.5">
      <c r="B32" s="145" t="str">
        <f t="shared" si="0"/>
        <v/>
      </c>
      <c r="C32" s="496">
        <f>IF(D11="","-",+C31+1)</f>
        <v>2035</v>
      </c>
      <c r="D32" s="509">
        <f>IF(F31+SUM(E$17:E31)=D$10,F31,D$10-SUM(E$17:E31))</f>
        <v>2077109.6255358998</v>
      </c>
      <c r="E32" s="510">
        <f t="shared" si="7"/>
        <v>112774.36909090909</v>
      </c>
      <c r="F32" s="511">
        <f t="shared" si="8"/>
        <v>1964335.2564449906</v>
      </c>
      <c r="G32" s="512">
        <f t="shared" si="9"/>
        <v>344669.99880648294</v>
      </c>
      <c r="H32" s="478">
        <f t="shared" si="10"/>
        <v>344669.99880648294</v>
      </c>
      <c r="I32" s="501">
        <f t="shared" si="1"/>
        <v>0</v>
      </c>
      <c r="J32" s="501"/>
      <c r="K32" s="513"/>
      <c r="L32" s="505">
        <f t="shared" si="2"/>
        <v>0</v>
      </c>
      <c r="M32" s="513"/>
      <c r="N32" s="505">
        <f t="shared" si="3"/>
        <v>0</v>
      </c>
      <c r="O32" s="505">
        <f t="shared" si="4"/>
        <v>0</v>
      </c>
      <c r="P32" s="279"/>
    </row>
    <row r="33" spans="2:16" ht="12.5">
      <c r="B33" s="145" t="str">
        <f t="shared" si="0"/>
        <v/>
      </c>
      <c r="C33" s="496">
        <f>IF(D11="","-",+C32+1)</f>
        <v>2036</v>
      </c>
      <c r="D33" s="509">
        <f>IF(F32+SUM(E$17:E32)=D$10,F32,D$10-SUM(E$17:E32))</f>
        <v>1964335.2564449906</v>
      </c>
      <c r="E33" s="510">
        <f t="shared" si="7"/>
        <v>112774.36909090909</v>
      </c>
      <c r="F33" s="511">
        <f t="shared" si="8"/>
        <v>1851560.8873540815</v>
      </c>
      <c r="G33" s="512">
        <f t="shared" si="9"/>
        <v>331728.15048252669</v>
      </c>
      <c r="H33" s="478">
        <f t="shared" si="10"/>
        <v>331728.15048252669</v>
      </c>
      <c r="I33" s="501">
        <f t="shared" si="1"/>
        <v>0</v>
      </c>
      <c r="J33" s="501"/>
      <c r="K33" s="513"/>
      <c r="L33" s="505">
        <f t="shared" si="2"/>
        <v>0</v>
      </c>
      <c r="M33" s="513"/>
      <c r="N33" s="505">
        <f t="shared" si="3"/>
        <v>0</v>
      </c>
      <c r="O33" s="505">
        <f t="shared" si="4"/>
        <v>0</v>
      </c>
      <c r="P33" s="279"/>
    </row>
    <row r="34" spans="2:16" ht="12.5">
      <c r="B34" s="145" t="str">
        <f t="shared" si="0"/>
        <v/>
      </c>
      <c r="C34" s="496">
        <f>IF(D11="","-",+C33+1)</f>
        <v>2037</v>
      </c>
      <c r="D34" s="509">
        <f>IF(F33+SUM(E$17:E33)=D$10,F33,D$10-SUM(E$17:E33))</f>
        <v>1851560.8873540815</v>
      </c>
      <c r="E34" s="510">
        <f t="shared" si="7"/>
        <v>112774.36909090909</v>
      </c>
      <c r="F34" s="511">
        <f t="shared" si="8"/>
        <v>1738786.5182631724</v>
      </c>
      <c r="G34" s="512">
        <f t="shared" si="9"/>
        <v>318786.3021585705</v>
      </c>
      <c r="H34" s="478">
        <f t="shared" si="10"/>
        <v>318786.3021585705</v>
      </c>
      <c r="I34" s="501">
        <f t="shared" si="1"/>
        <v>0</v>
      </c>
      <c r="J34" s="501"/>
      <c r="K34" s="513"/>
      <c r="L34" s="505">
        <f t="shared" si="2"/>
        <v>0</v>
      </c>
      <c r="M34" s="513"/>
      <c r="N34" s="505">
        <f t="shared" si="3"/>
        <v>0</v>
      </c>
      <c r="O34" s="505">
        <f t="shared" si="4"/>
        <v>0</v>
      </c>
      <c r="P34" s="279"/>
    </row>
    <row r="35" spans="2:16" ht="12.5">
      <c r="B35" s="145" t="str">
        <f t="shared" si="0"/>
        <v/>
      </c>
      <c r="C35" s="496">
        <f>IF(D11="","-",+C34+1)</f>
        <v>2038</v>
      </c>
      <c r="D35" s="509">
        <f>IF(F34+SUM(E$17:E34)=D$10,F34,D$10-SUM(E$17:E34))</f>
        <v>1738786.5182631724</v>
      </c>
      <c r="E35" s="510">
        <f t="shared" si="7"/>
        <v>112774.36909090909</v>
      </c>
      <c r="F35" s="511">
        <f t="shared" si="8"/>
        <v>1626012.1491722632</v>
      </c>
      <c r="G35" s="512">
        <f t="shared" si="9"/>
        <v>305844.45383461425</v>
      </c>
      <c r="H35" s="478">
        <f t="shared" si="10"/>
        <v>305844.45383461425</v>
      </c>
      <c r="I35" s="501">
        <f t="shared" si="1"/>
        <v>0</v>
      </c>
      <c r="J35" s="501"/>
      <c r="K35" s="513"/>
      <c r="L35" s="505">
        <f t="shared" si="2"/>
        <v>0</v>
      </c>
      <c r="M35" s="513"/>
      <c r="N35" s="505">
        <f t="shared" si="3"/>
        <v>0</v>
      </c>
      <c r="O35" s="505">
        <f t="shared" si="4"/>
        <v>0</v>
      </c>
      <c r="P35" s="279"/>
    </row>
    <row r="36" spans="2:16" ht="12.5">
      <c r="B36" s="145" t="str">
        <f t="shared" si="0"/>
        <v/>
      </c>
      <c r="C36" s="496">
        <f>IF(D11="","-",+C35+1)</f>
        <v>2039</v>
      </c>
      <c r="D36" s="509">
        <f>IF(F35+SUM(E$17:E35)=D$10,F35,D$10-SUM(E$17:E35))</f>
        <v>1626012.1491722632</v>
      </c>
      <c r="E36" s="510">
        <f t="shared" si="7"/>
        <v>112774.36909090909</v>
      </c>
      <c r="F36" s="511">
        <f t="shared" si="8"/>
        <v>1513237.7800813541</v>
      </c>
      <c r="G36" s="512">
        <f t="shared" si="9"/>
        <v>292902.605510658</v>
      </c>
      <c r="H36" s="478">
        <f t="shared" si="10"/>
        <v>292902.605510658</v>
      </c>
      <c r="I36" s="501">
        <f t="shared" si="1"/>
        <v>0</v>
      </c>
      <c r="J36" s="501"/>
      <c r="K36" s="513"/>
      <c r="L36" s="505">
        <f t="shared" si="2"/>
        <v>0</v>
      </c>
      <c r="M36" s="513"/>
      <c r="N36" s="505">
        <f t="shared" si="3"/>
        <v>0</v>
      </c>
      <c r="O36" s="505">
        <f t="shared" si="4"/>
        <v>0</v>
      </c>
      <c r="P36" s="279"/>
    </row>
    <row r="37" spans="2:16" ht="12.5">
      <c r="B37" s="145" t="str">
        <f t="shared" si="0"/>
        <v/>
      </c>
      <c r="C37" s="496">
        <f>IF(D11="","-",+C36+1)</f>
        <v>2040</v>
      </c>
      <c r="D37" s="509">
        <f>IF(F36+SUM(E$17:E36)=D$10,F36,D$10-SUM(E$17:E36))</f>
        <v>1513237.7800813541</v>
      </c>
      <c r="E37" s="510">
        <f t="shared" si="7"/>
        <v>112774.36909090909</v>
      </c>
      <c r="F37" s="511">
        <f t="shared" si="8"/>
        <v>1400463.4109904449</v>
      </c>
      <c r="G37" s="512">
        <f t="shared" si="9"/>
        <v>279960.75718670181</v>
      </c>
      <c r="H37" s="478">
        <f t="shared" si="10"/>
        <v>279960.75718670181</v>
      </c>
      <c r="I37" s="501">
        <f t="shared" si="1"/>
        <v>0</v>
      </c>
      <c r="J37" s="501"/>
      <c r="K37" s="513"/>
      <c r="L37" s="505">
        <f t="shared" si="2"/>
        <v>0</v>
      </c>
      <c r="M37" s="513"/>
      <c r="N37" s="505">
        <f t="shared" si="3"/>
        <v>0</v>
      </c>
      <c r="O37" s="505">
        <f t="shared" si="4"/>
        <v>0</v>
      </c>
      <c r="P37" s="279"/>
    </row>
    <row r="38" spans="2:16" ht="12.5">
      <c r="B38" s="145" t="str">
        <f t="shared" si="0"/>
        <v/>
      </c>
      <c r="C38" s="496">
        <f>IF(D11="","-",+C37+1)</f>
        <v>2041</v>
      </c>
      <c r="D38" s="509">
        <f>IF(F37+SUM(E$17:E37)=D$10,F37,D$10-SUM(E$17:E37))</f>
        <v>1400463.4109904449</v>
      </c>
      <c r="E38" s="510">
        <f t="shared" si="7"/>
        <v>112774.36909090909</v>
      </c>
      <c r="F38" s="511">
        <f t="shared" si="8"/>
        <v>1287689.0418995358</v>
      </c>
      <c r="G38" s="512">
        <f t="shared" si="9"/>
        <v>267018.90886274556</v>
      </c>
      <c r="H38" s="478">
        <f t="shared" si="10"/>
        <v>267018.90886274556</v>
      </c>
      <c r="I38" s="501">
        <f t="shared" si="1"/>
        <v>0</v>
      </c>
      <c r="J38" s="501"/>
      <c r="K38" s="513"/>
      <c r="L38" s="505">
        <f t="shared" si="2"/>
        <v>0</v>
      </c>
      <c r="M38" s="513"/>
      <c r="N38" s="505">
        <f t="shared" si="3"/>
        <v>0</v>
      </c>
      <c r="O38" s="505">
        <f t="shared" si="4"/>
        <v>0</v>
      </c>
      <c r="P38" s="279"/>
    </row>
    <row r="39" spans="2:16" ht="12.5">
      <c r="B39" s="145" t="str">
        <f t="shared" si="0"/>
        <v/>
      </c>
      <c r="C39" s="496">
        <f>IF(D11="","-",+C38+1)</f>
        <v>2042</v>
      </c>
      <c r="D39" s="509">
        <f>IF(F38+SUM(E$17:E38)=D$10,F38,D$10-SUM(E$17:E38))</f>
        <v>1287689.0418995358</v>
      </c>
      <c r="E39" s="510">
        <f t="shared" si="7"/>
        <v>112774.36909090909</v>
      </c>
      <c r="F39" s="511">
        <f t="shared" si="8"/>
        <v>1174914.6728086267</v>
      </c>
      <c r="G39" s="512">
        <f t="shared" si="9"/>
        <v>254077.06053878937</v>
      </c>
      <c r="H39" s="478">
        <f t="shared" si="10"/>
        <v>254077.06053878937</v>
      </c>
      <c r="I39" s="501">
        <f t="shared" si="1"/>
        <v>0</v>
      </c>
      <c r="J39" s="501"/>
      <c r="K39" s="513"/>
      <c r="L39" s="505">
        <f t="shared" si="2"/>
        <v>0</v>
      </c>
      <c r="M39" s="513"/>
      <c r="N39" s="505">
        <f t="shared" si="3"/>
        <v>0</v>
      </c>
      <c r="O39" s="505">
        <f t="shared" si="4"/>
        <v>0</v>
      </c>
      <c r="P39" s="279"/>
    </row>
    <row r="40" spans="2:16" ht="12.5">
      <c r="B40" s="145" t="str">
        <f t="shared" si="0"/>
        <v/>
      </c>
      <c r="C40" s="496">
        <f>IF(D11="","-",+C39+1)</f>
        <v>2043</v>
      </c>
      <c r="D40" s="509">
        <f>IF(F39+SUM(E$17:E39)=D$10,F39,D$10-SUM(E$17:E39))</f>
        <v>1174914.6728086267</v>
      </c>
      <c r="E40" s="510">
        <f t="shared" si="7"/>
        <v>112774.36909090909</v>
      </c>
      <c r="F40" s="511">
        <f t="shared" si="8"/>
        <v>1062140.3037177175</v>
      </c>
      <c r="G40" s="512">
        <f t="shared" si="9"/>
        <v>241135.21221483313</v>
      </c>
      <c r="H40" s="478">
        <f t="shared" si="10"/>
        <v>241135.21221483313</v>
      </c>
      <c r="I40" s="501">
        <f t="shared" si="1"/>
        <v>0</v>
      </c>
      <c r="J40" s="501"/>
      <c r="K40" s="513"/>
      <c r="L40" s="505">
        <f t="shared" si="2"/>
        <v>0</v>
      </c>
      <c r="M40" s="513"/>
      <c r="N40" s="505">
        <f t="shared" si="3"/>
        <v>0</v>
      </c>
      <c r="O40" s="505">
        <f t="shared" si="4"/>
        <v>0</v>
      </c>
      <c r="P40" s="279"/>
    </row>
    <row r="41" spans="2:16" ht="12.5">
      <c r="B41" s="145" t="str">
        <f t="shared" si="0"/>
        <v/>
      </c>
      <c r="C41" s="496">
        <f>IF(D11="","-",+C40+1)</f>
        <v>2044</v>
      </c>
      <c r="D41" s="509">
        <f>IF(F40+SUM(E$17:E40)=D$10,F40,D$10-SUM(E$17:E40))</f>
        <v>1062140.3037177175</v>
      </c>
      <c r="E41" s="510">
        <f t="shared" si="7"/>
        <v>112774.36909090909</v>
      </c>
      <c r="F41" s="511">
        <f t="shared" si="8"/>
        <v>949365.93462680839</v>
      </c>
      <c r="G41" s="512">
        <f t="shared" si="9"/>
        <v>228193.36389087694</v>
      </c>
      <c r="H41" s="478">
        <f t="shared" si="10"/>
        <v>228193.36389087694</v>
      </c>
      <c r="I41" s="501">
        <f t="shared" si="1"/>
        <v>0</v>
      </c>
      <c r="J41" s="501"/>
      <c r="K41" s="513"/>
      <c r="L41" s="505">
        <f t="shared" si="2"/>
        <v>0</v>
      </c>
      <c r="M41" s="513"/>
      <c r="N41" s="505">
        <f t="shared" si="3"/>
        <v>0</v>
      </c>
      <c r="O41" s="505">
        <f t="shared" si="4"/>
        <v>0</v>
      </c>
      <c r="P41" s="279"/>
    </row>
    <row r="42" spans="2:16" ht="12.5">
      <c r="B42" s="145" t="str">
        <f t="shared" si="0"/>
        <v/>
      </c>
      <c r="C42" s="496">
        <f>IF(D11="","-",+C41+1)</f>
        <v>2045</v>
      </c>
      <c r="D42" s="509">
        <f>IF(F41+SUM(E$17:E41)=D$10,F41,D$10-SUM(E$17:E41))</f>
        <v>949365.93462680839</v>
      </c>
      <c r="E42" s="510">
        <f t="shared" si="7"/>
        <v>112774.36909090909</v>
      </c>
      <c r="F42" s="511">
        <f t="shared" si="8"/>
        <v>836591.56553589925</v>
      </c>
      <c r="G42" s="512">
        <f t="shared" si="9"/>
        <v>215251.51556692069</v>
      </c>
      <c r="H42" s="478">
        <f t="shared" si="10"/>
        <v>215251.51556692069</v>
      </c>
      <c r="I42" s="501">
        <f t="shared" si="1"/>
        <v>0</v>
      </c>
      <c r="J42" s="501"/>
      <c r="K42" s="513"/>
      <c r="L42" s="505">
        <f t="shared" si="2"/>
        <v>0</v>
      </c>
      <c r="M42" s="513"/>
      <c r="N42" s="505">
        <f t="shared" si="3"/>
        <v>0</v>
      </c>
      <c r="O42" s="505">
        <f t="shared" si="4"/>
        <v>0</v>
      </c>
      <c r="P42" s="279"/>
    </row>
    <row r="43" spans="2:16" ht="12.5">
      <c r="B43" s="145" t="str">
        <f t="shared" si="0"/>
        <v/>
      </c>
      <c r="C43" s="496">
        <f>IF(D11="","-",+C42+1)</f>
        <v>2046</v>
      </c>
      <c r="D43" s="509">
        <f>IF(F42+SUM(E$17:E42)=D$10,F42,D$10-SUM(E$17:E42))</f>
        <v>836591.56553589925</v>
      </c>
      <c r="E43" s="510">
        <f t="shared" si="7"/>
        <v>112774.36909090909</v>
      </c>
      <c r="F43" s="511">
        <f t="shared" si="8"/>
        <v>723817.19644499011</v>
      </c>
      <c r="G43" s="512">
        <f t="shared" si="9"/>
        <v>202309.66724296447</v>
      </c>
      <c r="H43" s="478">
        <f t="shared" si="10"/>
        <v>202309.66724296447</v>
      </c>
      <c r="I43" s="501">
        <f t="shared" si="1"/>
        <v>0</v>
      </c>
      <c r="J43" s="501"/>
      <c r="K43" s="513"/>
      <c r="L43" s="505">
        <f t="shared" si="2"/>
        <v>0</v>
      </c>
      <c r="M43" s="513"/>
      <c r="N43" s="505">
        <f t="shared" si="3"/>
        <v>0</v>
      </c>
      <c r="O43" s="505">
        <f t="shared" si="4"/>
        <v>0</v>
      </c>
      <c r="P43" s="279"/>
    </row>
    <row r="44" spans="2:16" ht="12.5">
      <c r="B44" s="145" t="str">
        <f t="shared" si="0"/>
        <v/>
      </c>
      <c r="C44" s="496">
        <f>IF(D11="","-",+C43+1)</f>
        <v>2047</v>
      </c>
      <c r="D44" s="509">
        <f>IF(F43+SUM(E$17:E43)=D$10,F43,D$10-SUM(E$17:E43))</f>
        <v>723817.19644499011</v>
      </c>
      <c r="E44" s="510">
        <f t="shared" si="7"/>
        <v>112774.36909090909</v>
      </c>
      <c r="F44" s="511">
        <f t="shared" si="8"/>
        <v>611042.82735408098</v>
      </c>
      <c r="G44" s="512">
        <f t="shared" si="9"/>
        <v>189367.81891900825</v>
      </c>
      <c r="H44" s="478">
        <f t="shared" si="10"/>
        <v>189367.81891900825</v>
      </c>
      <c r="I44" s="501">
        <f t="shared" si="1"/>
        <v>0</v>
      </c>
      <c r="J44" s="501"/>
      <c r="K44" s="513"/>
      <c r="L44" s="505">
        <f t="shared" si="2"/>
        <v>0</v>
      </c>
      <c r="M44" s="513"/>
      <c r="N44" s="505">
        <f t="shared" si="3"/>
        <v>0</v>
      </c>
      <c r="O44" s="505">
        <f t="shared" si="4"/>
        <v>0</v>
      </c>
      <c r="P44" s="279"/>
    </row>
    <row r="45" spans="2:16" ht="12.5">
      <c r="B45" s="145" t="str">
        <f t="shared" si="0"/>
        <v/>
      </c>
      <c r="C45" s="496">
        <f>IF(D11="","-",+C44+1)</f>
        <v>2048</v>
      </c>
      <c r="D45" s="509">
        <f>IF(F44+SUM(E$17:E44)=D$10,F44,D$10-SUM(E$17:E44))</f>
        <v>611042.82735408098</v>
      </c>
      <c r="E45" s="510">
        <f t="shared" si="7"/>
        <v>112774.36909090909</v>
      </c>
      <c r="F45" s="511">
        <f t="shared" si="8"/>
        <v>498268.45826317189</v>
      </c>
      <c r="G45" s="512">
        <f t="shared" si="9"/>
        <v>176425.97059505203</v>
      </c>
      <c r="H45" s="478">
        <f t="shared" si="10"/>
        <v>176425.97059505203</v>
      </c>
      <c r="I45" s="501">
        <f t="shared" si="1"/>
        <v>0</v>
      </c>
      <c r="J45" s="501"/>
      <c r="K45" s="513"/>
      <c r="L45" s="505">
        <f t="shared" si="2"/>
        <v>0</v>
      </c>
      <c r="M45" s="513"/>
      <c r="N45" s="505">
        <f t="shared" si="3"/>
        <v>0</v>
      </c>
      <c r="O45" s="505">
        <f t="shared" si="4"/>
        <v>0</v>
      </c>
      <c r="P45" s="279"/>
    </row>
    <row r="46" spans="2:16" ht="12.5">
      <c r="B46" s="145" t="str">
        <f t="shared" si="0"/>
        <v/>
      </c>
      <c r="C46" s="496">
        <f>IF(D11="","-",+C45+1)</f>
        <v>2049</v>
      </c>
      <c r="D46" s="509">
        <f>IF(F45+SUM(E$17:E45)=D$10,F45,D$10-SUM(E$17:E45))</f>
        <v>498268.45826317189</v>
      </c>
      <c r="E46" s="510">
        <f t="shared" si="7"/>
        <v>112774.36909090909</v>
      </c>
      <c r="F46" s="511">
        <f t="shared" si="8"/>
        <v>385494.08917226281</v>
      </c>
      <c r="G46" s="512">
        <f t="shared" si="9"/>
        <v>163484.12227109581</v>
      </c>
      <c r="H46" s="478">
        <f t="shared" si="10"/>
        <v>163484.12227109581</v>
      </c>
      <c r="I46" s="501">
        <f t="shared" si="1"/>
        <v>0</v>
      </c>
      <c r="J46" s="501"/>
      <c r="K46" s="513"/>
      <c r="L46" s="505">
        <f t="shared" si="2"/>
        <v>0</v>
      </c>
      <c r="M46" s="513"/>
      <c r="N46" s="505">
        <f t="shared" si="3"/>
        <v>0</v>
      </c>
      <c r="O46" s="505">
        <f t="shared" si="4"/>
        <v>0</v>
      </c>
      <c r="P46" s="279"/>
    </row>
    <row r="47" spans="2:16" ht="12.5">
      <c r="B47" s="145" t="str">
        <f t="shared" si="0"/>
        <v/>
      </c>
      <c r="C47" s="496">
        <f>IF(D11="","-",+C46+1)</f>
        <v>2050</v>
      </c>
      <c r="D47" s="509">
        <f>IF(F46+SUM(E$17:E46)=D$10,F46,D$10-SUM(E$17:E46))</f>
        <v>385494.08917226281</v>
      </c>
      <c r="E47" s="510">
        <f t="shared" si="7"/>
        <v>112774.36909090909</v>
      </c>
      <c r="F47" s="511">
        <f t="shared" si="8"/>
        <v>272719.72008135373</v>
      </c>
      <c r="G47" s="512">
        <f t="shared" si="9"/>
        <v>150542.27394713959</v>
      </c>
      <c r="H47" s="478">
        <f t="shared" si="10"/>
        <v>150542.27394713959</v>
      </c>
      <c r="I47" s="501">
        <f t="shared" si="1"/>
        <v>0</v>
      </c>
      <c r="J47" s="501"/>
      <c r="K47" s="513"/>
      <c r="L47" s="505">
        <f t="shared" si="2"/>
        <v>0</v>
      </c>
      <c r="M47" s="513"/>
      <c r="N47" s="505">
        <f t="shared" si="3"/>
        <v>0</v>
      </c>
      <c r="O47" s="505">
        <f t="shared" si="4"/>
        <v>0</v>
      </c>
      <c r="P47" s="279"/>
    </row>
    <row r="48" spans="2:16" ht="12.5">
      <c r="B48" s="145" t="str">
        <f t="shared" si="0"/>
        <v/>
      </c>
      <c r="C48" s="496">
        <f>IF(D11="","-",+C47+1)</f>
        <v>2051</v>
      </c>
      <c r="D48" s="509">
        <f>IF(F47+SUM(E$17:E47)=D$10,F47,D$10-SUM(E$17:E47))</f>
        <v>272719.72008135373</v>
      </c>
      <c r="E48" s="510">
        <f t="shared" si="7"/>
        <v>112774.36909090909</v>
      </c>
      <c r="F48" s="511">
        <f t="shared" si="8"/>
        <v>159945.35099044465</v>
      </c>
      <c r="G48" s="512">
        <f t="shared" si="9"/>
        <v>137600.42562318337</v>
      </c>
      <c r="H48" s="478">
        <f t="shared" si="10"/>
        <v>137600.42562318337</v>
      </c>
      <c r="I48" s="501">
        <f t="shared" si="1"/>
        <v>0</v>
      </c>
      <c r="J48" s="501"/>
      <c r="K48" s="513"/>
      <c r="L48" s="505">
        <f t="shared" si="2"/>
        <v>0</v>
      </c>
      <c r="M48" s="513"/>
      <c r="N48" s="505">
        <f t="shared" si="3"/>
        <v>0</v>
      </c>
      <c r="O48" s="505">
        <f t="shared" si="4"/>
        <v>0</v>
      </c>
      <c r="P48" s="279"/>
    </row>
    <row r="49" spans="2:16" ht="12.5">
      <c r="B49" s="145" t="str">
        <f t="shared" si="0"/>
        <v/>
      </c>
      <c r="C49" s="496">
        <f>IF(D11="","-",+C48+1)</f>
        <v>2052</v>
      </c>
      <c r="D49" s="509">
        <f>IF(F48+SUM(E$17:E48)=D$10,F48,D$10-SUM(E$17:E48))</f>
        <v>159945.35099044465</v>
      </c>
      <c r="E49" s="510">
        <f t="shared" si="7"/>
        <v>112774.36909090909</v>
      </c>
      <c r="F49" s="511">
        <f t="shared" si="8"/>
        <v>47170.98189953556</v>
      </c>
      <c r="G49" s="512">
        <f t="shared" si="9"/>
        <v>124658.57729922717</v>
      </c>
      <c r="H49" s="478">
        <f t="shared" si="10"/>
        <v>124658.57729922717</v>
      </c>
      <c r="I49" s="501">
        <f t="shared" si="1"/>
        <v>0</v>
      </c>
      <c r="J49" s="501"/>
      <c r="K49" s="513"/>
      <c r="L49" s="505">
        <f t="shared" si="2"/>
        <v>0</v>
      </c>
      <c r="M49" s="513"/>
      <c r="N49" s="505">
        <f t="shared" si="3"/>
        <v>0</v>
      </c>
      <c r="O49" s="505">
        <f t="shared" si="4"/>
        <v>0</v>
      </c>
      <c r="P49" s="279"/>
    </row>
    <row r="50" spans="2:16" ht="12.5">
      <c r="B50" s="145" t="str">
        <f t="shared" si="0"/>
        <v/>
      </c>
      <c r="C50" s="496">
        <f>IF(D11="","-",+C49+1)</f>
        <v>2053</v>
      </c>
      <c r="D50" s="509">
        <f>IF(F49+SUM(E$17:E49)=D$10,F49,D$10-SUM(E$17:E49))</f>
        <v>47170.98189953556</v>
      </c>
      <c r="E50" s="510">
        <f t="shared" si="7"/>
        <v>47170.98189953556</v>
      </c>
      <c r="F50" s="511">
        <f t="shared" si="8"/>
        <v>0</v>
      </c>
      <c r="G50" s="512">
        <f t="shared" si="9"/>
        <v>49877.623922705541</v>
      </c>
      <c r="H50" s="478">
        <f t="shared" si="10"/>
        <v>49877.623922705541</v>
      </c>
      <c r="I50" s="501">
        <f t="shared" si="1"/>
        <v>0</v>
      </c>
      <c r="J50" s="501"/>
      <c r="K50" s="513"/>
      <c r="L50" s="505">
        <f t="shared" si="2"/>
        <v>0</v>
      </c>
      <c r="M50" s="513"/>
      <c r="N50" s="505">
        <f t="shared" si="3"/>
        <v>0</v>
      </c>
      <c r="O50" s="505">
        <f t="shared" si="4"/>
        <v>0</v>
      </c>
      <c r="P50" s="279"/>
    </row>
    <row r="51" spans="2:16" ht="12.5">
      <c r="B51" s="145" t="str">
        <f t="shared" si="0"/>
        <v/>
      </c>
      <c r="C51" s="496">
        <f>IF(D11="","-",+C50+1)</f>
        <v>2054</v>
      </c>
      <c r="D51" s="509">
        <f>IF(F50+SUM(E$17:E50)=D$10,F50,D$10-SUM(E$17:E50))</f>
        <v>0</v>
      </c>
      <c r="E51" s="510">
        <f t="shared" si="7"/>
        <v>0</v>
      </c>
      <c r="F51" s="511">
        <f t="shared" si="8"/>
        <v>0</v>
      </c>
      <c r="G51" s="512">
        <f t="shared" si="9"/>
        <v>0</v>
      </c>
      <c r="H51" s="478">
        <f t="shared" si="10"/>
        <v>0</v>
      </c>
      <c r="I51" s="501">
        <f t="shared" si="1"/>
        <v>0</v>
      </c>
      <c r="J51" s="501"/>
      <c r="K51" s="513"/>
      <c r="L51" s="505">
        <f t="shared" si="2"/>
        <v>0</v>
      </c>
      <c r="M51" s="513"/>
      <c r="N51" s="505">
        <f t="shared" si="3"/>
        <v>0</v>
      </c>
      <c r="O51" s="505">
        <f t="shared" si="4"/>
        <v>0</v>
      </c>
      <c r="P51" s="279"/>
    </row>
    <row r="52" spans="2:16" ht="12.5">
      <c r="B52" s="145" t="str">
        <f t="shared" si="0"/>
        <v/>
      </c>
      <c r="C52" s="496">
        <f>IF(D11="","-",+C51+1)</f>
        <v>2055</v>
      </c>
      <c r="D52" s="509">
        <f>IF(F51+SUM(E$17:E51)=D$10,F51,D$10-SUM(E$17:E51))</f>
        <v>0</v>
      </c>
      <c r="E52" s="510">
        <f t="shared" si="7"/>
        <v>0</v>
      </c>
      <c r="F52" s="511">
        <f t="shared" si="8"/>
        <v>0</v>
      </c>
      <c r="G52" s="512">
        <f t="shared" si="9"/>
        <v>0</v>
      </c>
      <c r="H52" s="478">
        <f t="shared" si="10"/>
        <v>0</v>
      </c>
      <c r="I52" s="501">
        <f t="shared" si="1"/>
        <v>0</v>
      </c>
      <c r="J52" s="501"/>
      <c r="K52" s="513"/>
      <c r="L52" s="505">
        <f t="shared" si="2"/>
        <v>0</v>
      </c>
      <c r="M52" s="513"/>
      <c r="N52" s="505">
        <f t="shared" si="3"/>
        <v>0</v>
      </c>
      <c r="O52" s="505">
        <f t="shared" si="4"/>
        <v>0</v>
      </c>
      <c r="P52" s="279"/>
    </row>
    <row r="53" spans="2:16" ht="12.5">
      <c r="B53" s="145" t="str">
        <f t="shared" si="0"/>
        <v/>
      </c>
      <c r="C53" s="496">
        <f>IF(D11="","-",+C52+1)</f>
        <v>2056</v>
      </c>
      <c r="D53" s="509">
        <f>IF(F52+SUM(E$17:E52)=D$10,F52,D$10-SUM(E$17:E52))</f>
        <v>0</v>
      </c>
      <c r="E53" s="510">
        <f t="shared" si="7"/>
        <v>0</v>
      </c>
      <c r="F53" s="511">
        <f t="shared" si="8"/>
        <v>0</v>
      </c>
      <c r="G53" s="512">
        <f t="shared" si="9"/>
        <v>0</v>
      </c>
      <c r="H53" s="478">
        <f t="shared" si="10"/>
        <v>0</v>
      </c>
      <c r="I53" s="501">
        <f t="shared" si="1"/>
        <v>0</v>
      </c>
      <c r="J53" s="501"/>
      <c r="K53" s="513"/>
      <c r="L53" s="505">
        <f t="shared" si="2"/>
        <v>0</v>
      </c>
      <c r="M53" s="513"/>
      <c r="N53" s="505">
        <f t="shared" si="3"/>
        <v>0</v>
      </c>
      <c r="O53" s="505">
        <f t="shared" si="4"/>
        <v>0</v>
      </c>
      <c r="P53" s="279"/>
    </row>
    <row r="54" spans="2:16" ht="12.5">
      <c r="B54" s="145" t="str">
        <f t="shared" si="0"/>
        <v/>
      </c>
      <c r="C54" s="496">
        <f>IF(D11="","-",+C53+1)</f>
        <v>2057</v>
      </c>
      <c r="D54" s="509">
        <f>IF(F53+SUM(E$17:E53)=D$10,F53,D$10-SUM(E$17:E53))</f>
        <v>0</v>
      </c>
      <c r="E54" s="510">
        <f t="shared" si="7"/>
        <v>0</v>
      </c>
      <c r="F54" s="511">
        <f t="shared" si="8"/>
        <v>0</v>
      </c>
      <c r="G54" s="512">
        <f t="shared" si="9"/>
        <v>0</v>
      </c>
      <c r="H54" s="478">
        <f t="shared" si="10"/>
        <v>0</v>
      </c>
      <c r="I54" s="501">
        <f t="shared" si="1"/>
        <v>0</v>
      </c>
      <c r="J54" s="501"/>
      <c r="K54" s="513"/>
      <c r="L54" s="505">
        <f t="shared" si="2"/>
        <v>0</v>
      </c>
      <c r="M54" s="513"/>
      <c r="N54" s="505">
        <f t="shared" si="3"/>
        <v>0</v>
      </c>
      <c r="O54" s="505">
        <f t="shared" si="4"/>
        <v>0</v>
      </c>
      <c r="P54" s="279"/>
    </row>
    <row r="55" spans="2:16" ht="12.5">
      <c r="B55" s="145" t="str">
        <f t="shared" si="0"/>
        <v/>
      </c>
      <c r="C55" s="496">
        <f>IF(D11="","-",+C54+1)</f>
        <v>2058</v>
      </c>
      <c r="D55" s="509">
        <f>IF(F54+SUM(E$17:E54)=D$10,F54,D$10-SUM(E$17:E54))</f>
        <v>0</v>
      </c>
      <c r="E55" s="510">
        <f t="shared" si="7"/>
        <v>0</v>
      </c>
      <c r="F55" s="511">
        <f t="shared" si="8"/>
        <v>0</v>
      </c>
      <c r="G55" s="512">
        <f t="shared" si="9"/>
        <v>0</v>
      </c>
      <c r="H55" s="478">
        <f t="shared" si="10"/>
        <v>0</v>
      </c>
      <c r="I55" s="501">
        <f t="shared" si="1"/>
        <v>0</v>
      </c>
      <c r="J55" s="501"/>
      <c r="K55" s="513"/>
      <c r="L55" s="505">
        <f t="shared" si="2"/>
        <v>0</v>
      </c>
      <c r="M55" s="513"/>
      <c r="N55" s="505">
        <f t="shared" si="3"/>
        <v>0</v>
      </c>
      <c r="O55" s="505">
        <f t="shared" si="4"/>
        <v>0</v>
      </c>
      <c r="P55" s="279"/>
    </row>
    <row r="56" spans="2:16" ht="12.5">
      <c r="B56" s="145" t="str">
        <f t="shared" si="0"/>
        <v/>
      </c>
      <c r="C56" s="496">
        <f>IF(D11="","-",+C55+1)</f>
        <v>2059</v>
      </c>
      <c r="D56" s="509">
        <f>IF(F55+SUM(E$17:E55)=D$10,F55,D$10-SUM(E$17:E55))</f>
        <v>0</v>
      </c>
      <c r="E56" s="510">
        <f t="shared" si="7"/>
        <v>0</v>
      </c>
      <c r="F56" s="511">
        <f t="shared" si="8"/>
        <v>0</v>
      </c>
      <c r="G56" s="512">
        <f t="shared" si="9"/>
        <v>0</v>
      </c>
      <c r="H56" s="478">
        <f t="shared" si="10"/>
        <v>0</v>
      </c>
      <c r="I56" s="501">
        <f t="shared" si="1"/>
        <v>0</v>
      </c>
      <c r="J56" s="501"/>
      <c r="K56" s="513"/>
      <c r="L56" s="505">
        <f t="shared" si="2"/>
        <v>0</v>
      </c>
      <c r="M56" s="513"/>
      <c r="N56" s="505">
        <f t="shared" si="3"/>
        <v>0</v>
      </c>
      <c r="O56" s="505">
        <f t="shared" si="4"/>
        <v>0</v>
      </c>
      <c r="P56" s="279"/>
    </row>
    <row r="57" spans="2:16" ht="12.5">
      <c r="B57" s="145" t="str">
        <f t="shared" si="0"/>
        <v/>
      </c>
      <c r="C57" s="496">
        <f>IF(D11="","-",+C56+1)</f>
        <v>2060</v>
      </c>
      <c r="D57" s="509">
        <f>IF(F56+SUM(E$17:E56)=D$10,F56,D$10-SUM(E$17:E56))</f>
        <v>0</v>
      </c>
      <c r="E57" s="510">
        <f t="shared" si="7"/>
        <v>0</v>
      </c>
      <c r="F57" s="511">
        <f t="shared" si="8"/>
        <v>0</v>
      </c>
      <c r="G57" s="512">
        <f t="shared" si="9"/>
        <v>0</v>
      </c>
      <c r="H57" s="478">
        <f t="shared" si="10"/>
        <v>0</v>
      </c>
      <c r="I57" s="501">
        <f t="shared" si="1"/>
        <v>0</v>
      </c>
      <c r="J57" s="501"/>
      <c r="K57" s="513"/>
      <c r="L57" s="505">
        <f t="shared" si="2"/>
        <v>0</v>
      </c>
      <c r="M57" s="513"/>
      <c r="N57" s="505">
        <f t="shared" si="3"/>
        <v>0</v>
      </c>
      <c r="O57" s="505">
        <f t="shared" si="4"/>
        <v>0</v>
      </c>
      <c r="P57" s="279"/>
    </row>
    <row r="58" spans="2:16" ht="12.5">
      <c r="B58" s="145" t="str">
        <f t="shared" si="0"/>
        <v/>
      </c>
      <c r="C58" s="496">
        <f>IF(D11="","-",+C57+1)</f>
        <v>2061</v>
      </c>
      <c r="D58" s="509">
        <f>IF(F57+SUM(E$17:E57)=D$10,F57,D$10-SUM(E$17:E57))</f>
        <v>0</v>
      </c>
      <c r="E58" s="510">
        <f t="shared" si="7"/>
        <v>0</v>
      </c>
      <c r="F58" s="511">
        <f t="shared" si="8"/>
        <v>0</v>
      </c>
      <c r="G58" s="512">
        <f t="shared" si="9"/>
        <v>0</v>
      </c>
      <c r="H58" s="478">
        <f t="shared" si="10"/>
        <v>0</v>
      </c>
      <c r="I58" s="501">
        <f t="shared" si="1"/>
        <v>0</v>
      </c>
      <c r="J58" s="501"/>
      <c r="K58" s="513"/>
      <c r="L58" s="505">
        <f t="shared" si="2"/>
        <v>0</v>
      </c>
      <c r="M58" s="513"/>
      <c r="N58" s="505">
        <f t="shared" si="3"/>
        <v>0</v>
      </c>
      <c r="O58" s="505">
        <f t="shared" si="4"/>
        <v>0</v>
      </c>
      <c r="P58" s="279"/>
    </row>
    <row r="59" spans="2:16" ht="12.5">
      <c r="B59" s="145" t="str">
        <f t="shared" si="0"/>
        <v/>
      </c>
      <c r="C59" s="496">
        <f>IF(D11="","-",+C58+1)</f>
        <v>2062</v>
      </c>
      <c r="D59" s="509">
        <f>IF(F58+SUM(E$17:E58)=D$10,F58,D$10-SUM(E$17:E58))</f>
        <v>0</v>
      </c>
      <c r="E59" s="510">
        <f t="shared" si="7"/>
        <v>0</v>
      </c>
      <c r="F59" s="511">
        <f t="shared" si="8"/>
        <v>0</v>
      </c>
      <c r="G59" s="512">
        <f t="shared" si="9"/>
        <v>0</v>
      </c>
      <c r="H59" s="478">
        <f t="shared" si="10"/>
        <v>0</v>
      </c>
      <c r="I59" s="501">
        <f t="shared" si="1"/>
        <v>0</v>
      </c>
      <c r="J59" s="501"/>
      <c r="K59" s="513"/>
      <c r="L59" s="505">
        <f t="shared" si="2"/>
        <v>0</v>
      </c>
      <c r="M59" s="513"/>
      <c r="N59" s="505">
        <f t="shared" si="3"/>
        <v>0</v>
      </c>
      <c r="O59" s="505">
        <f t="shared" si="4"/>
        <v>0</v>
      </c>
      <c r="P59" s="279"/>
    </row>
    <row r="60" spans="2:16" ht="12.5">
      <c r="B60" s="145" t="str">
        <f t="shared" si="0"/>
        <v/>
      </c>
      <c r="C60" s="496">
        <f>IF(D11="","-",+C59+1)</f>
        <v>2063</v>
      </c>
      <c r="D60" s="509">
        <f>IF(F59+SUM(E$17:E59)=D$10,F59,D$10-SUM(E$17:E59))</f>
        <v>0</v>
      </c>
      <c r="E60" s="510">
        <f t="shared" si="7"/>
        <v>0</v>
      </c>
      <c r="F60" s="511">
        <f t="shared" si="8"/>
        <v>0</v>
      </c>
      <c r="G60" s="512">
        <f t="shared" si="9"/>
        <v>0</v>
      </c>
      <c r="H60" s="478">
        <f t="shared" si="10"/>
        <v>0</v>
      </c>
      <c r="I60" s="501">
        <f t="shared" si="1"/>
        <v>0</v>
      </c>
      <c r="J60" s="501"/>
      <c r="K60" s="513"/>
      <c r="L60" s="505">
        <f t="shared" si="2"/>
        <v>0</v>
      </c>
      <c r="M60" s="513"/>
      <c r="N60" s="505">
        <f t="shared" si="3"/>
        <v>0</v>
      </c>
      <c r="O60" s="505">
        <f t="shared" si="4"/>
        <v>0</v>
      </c>
      <c r="P60" s="279"/>
    </row>
    <row r="61" spans="2:16" ht="12.5">
      <c r="B61" s="145" t="str">
        <f t="shared" si="0"/>
        <v/>
      </c>
      <c r="C61" s="496">
        <f>IF(D11="","-",+C60+1)</f>
        <v>2064</v>
      </c>
      <c r="D61" s="509">
        <f>IF(F60+SUM(E$17:E60)=D$10,F60,D$10-SUM(E$17:E60))</f>
        <v>0</v>
      </c>
      <c r="E61" s="510">
        <f t="shared" si="7"/>
        <v>0</v>
      </c>
      <c r="F61" s="511">
        <f t="shared" si="8"/>
        <v>0</v>
      </c>
      <c r="G61" s="524">
        <f t="shared" si="9"/>
        <v>0</v>
      </c>
      <c r="H61" s="478">
        <f t="shared" si="10"/>
        <v>0</v>
      </c>
      <c r="I61" s="501">
        <f t="shared" si="1"/>
        <v>0</v>
      </c>
      <c r="J61" s="501"/>
      <c r="K61" s="513"/>
      <c r="L61" s="505">
        <f t="shared" si="2"/>
        <v>0</v>
      </c>
      <c r="M61" s="513"/>
      <c r="N61" s="505">
        <f t="shared" si="3"/>
        <v>0</v>
      </c>
      <c r="O61" s="505">
        <f t="shared" si="4"/>
        <v>0</v>
      </c>
      <c r="P61" s="279"/>
    </row>
    <row r="62" spans="2:16" ht="12.5">
      <c r="B62" s="145" t="str">
        <f t="shared" si="0"/>
        <v/>
      </c>
      <c r="C62" s="496">
        <f>IF(D11="","-",+C61+1)</f>
        <v>2065</v>
      </c>
      <c r="D62" s="509">
        <f>IF(F61+SUM(E$17:E61)=D$10,F61,D$10-SUM(E$17:E61))</f>
        <v>0</v>
      </c>
      <c r="E62" s="510">
        <f t="shared" si="7"/>
        <v>0</v>
      </c>
      <c r="F62" s="511">
        <f t="shared" si="8"/>
        <v>0</v>
      </c>
      <c r="G62" s="524">
        <f t="shared" si="9"/>
        <v>0</v>
      </c>
      <c r="H62" s="478">
        <f t="shared" si="10"/>
        <v>0</v>
      </c>
      <c r="I62" s="501">
        <f t="shared" si="1"/>
        <v>0</v>
      </c>
      <c r="J62" s="501"/>
      <c r="K62" s="513"/>
      <c r="L62" s="505">
        <f t="shared" si="2"/>
        <v>0</v>
      </c>
      <c r="M62" s="513"/>
      <c r="N62" s="505">
        <f t="shared" si="3"/>
        <v>0</v>
      </c>
      <c r="O62" s="505">
        <f t="shared" si="4"/>
        <v>0</v>
      </c>
      <c r="P62" s="279"/>
    </row>
    <row r="63" spans="2:16" ht="12.5">
      <c r="B63" s="145" t="str">
        <f t="shared" si="0"/>
        <v/>
      </c>
      <c r="C63" s="496">
        <f>IF(D11="","-",+C62+1)</f>
        <v>2066</v>
      </c>
      <c r="D63" s="509">
        <f>IF(F62+SUM(E$17:E62)=D$10,F62,D$10-SUM(E$17:E62))</f>
        <v>0</v>
      </c>
      <c r="E63" s="510">
        <f t="shared" si="7"/>
        <v>0</v>
      </c>
      <c r="F63" s="511">
        <f t="shared" si="8"/>
        <v>0</v>
      </c>
      <c r="G63" s="524">
        <f t="shared" si="9"/>
        <v>0</v>
      </c>
      <c r="H63" s="478">
        <f t="shared" si="10"/>
        <v>0</v>
      </c>
      <c r="I63" s="501">
        <f t="shared" si="1"/>
        <v>0</v>
      </c>
      <c r="J63" s="501"/>
      <c r="K63" s="513"/>
      <c r="L63" s="505">
        <f t="shared" si="2"/>
        <v>0</v>
      </c>
      <c r="M63" s="513"/>
      <c r="N63" s="505">
        <f t="shared" si="3"/>
        <v>0</v>
      </c>
      <c r="O63" s="505">
        <f t="shared" si="4"/>
        <v>0</v>
      </c>
      <c r="P63" s="279"/>
    </row>
    <row r="64" spans="2:16" ht="12.5">
      <c r="B64" s="145" t="str">
        <f t="shared" si="0"/>
        <v/>
      </c>
      <c r="C64" s="496">
        <f>IF(D11="","-",+C63+1)</f>
        <v>2067</v>
      </c>
      <c r="D64" s="509">
        <f>IF(F63+SUM(E$17:E63)=D$10,F63,D$10-SUM(E$17:E63))</f>
        <v>0</v>
      </c>
      <c r="E64" s="510">
        <f t="shared" si="7"/>
        <v>0</v>
      </c>
      <c r="F64" s="511">
        <f t="shared" si="8"/>
        <v>0</v>
      </c>
      <c r="G64" s="524">
        <f t="shared" si="9"/>
        <v>0</v>
      </c>
      <c r="H64" s="478">
        <f t="shared" si="10"/>
        <v>0</v>
      </c>
      <c r="I64" s="501">
        <f t="shared" si="1"/>
        <v>0</v>
      </c>
      <c r="J64" s="501"/>
      <c r="K64" s="513"/>
      <c r="L64" s="505">
        <f t="shared" si="2"/>
        <v>0</v>
      </c>
      <c r="M64" s="513"/>
      <c r="N64" s="505">
        <f t="shared" si="3"/>
        <v>0</v>
      </c>
      <c r="O64" s="505">
        <f t="shared" si="4"/>
        <v>0</v>
      </c>
      <c r="P64" s="279"/>
    </row>
    <row r="65" spans="2:16" ht="12.5">
      <c r="B65" s="145" t="str">
        <f t="shared" si="0"/>
        <v/>
      </c>
      <c r="C65" s="496">
        <f>IF(D11="","-",+C64+1)</f>
        <v>2068</v>
      </c>
      <c r="D65" s="509">
        <f>IF(F64+SUM(E$17:E64)=D$10,F64,D$10-SUM(E$17:E64))</f>
        <v>0</v>
      </c>
      <c r="E65" s="510">
        <f t="shared" si="7"/>
        <v>0</v>
      </c>
      <c r="F65" s="511">
        <f t="shared" si="8"/>
        <v>0</v>
      </c>
      <c r="G65" s="524">
        <f t="shared" si="9"/>
        <v>0</v>
      </c>
      <c r="H65" s="478">
        <f t="shared" si="10"/>
        <v>0</v>
      </c>
      <c r="I65" s="501">
        <f t="shared" si="1"/>
        <v>0</v>
      </c>
      <c r="J65" s="501"/>
      <c r="K65" s="513"/>
      <c r="L65" s="505">
        <f t="shared" si="2"/>
        <v>0</v>
      </c>
      <c r="M65" s="513"/>
      <c r="N65" s="505">
        <f t="shared" si="3"/>
        <v>0</v>
      </c>
      <c r="O65" s="505">
        <f t="shared" si="4"/>
        <v>0</v>
      </c>
      <c r="P65" s="279"/>
    </row>
    <row r="66" spans="2:16" ht="12.5">
      <c r="B66" s="145" t="str">
        <f t="shared" si="0"/>
        <v/>
      </c>
      <c r="C66" s="496">
        <f>IF(D11="","-",+C65+1)</f>
        <v>2069</v>
      </c>
      <c r="D66" s="509">
        <f>IF(F65+SUM(E$17:E65)=D$10,F65,D$10-SUM(E$17:E65))</f>
        <v>0</v>
      </c>
      <c r="E66" s="510">
        <f t="shared" si="7"/>
        <v>0</v>
      </c>
      <c r="F66" s="511">
        <f t="shared" si="8"/>
        <v>0</v>
      </c>
      <c r="G66" s="524">
        <f t="shared" si="9"/>
        <v>0</v>
      </c>
      <c r="H66" s="478">
        <f t="shared" si="10"/>
        <v>0</v>
      </c>
      <c r="I66" s="501">
        <f t="shared" si="1"/>
        <v>0</v>
      </c>
      <c r="J66" s="501"/>
      <c r="K66" s="513"/>
      <c r="L66" s="505">
        <f t="shared" si="2"/>
        <v>0</v>
      </c>
      <c r="M66" s="513"/>
      <c r="N66" s="505">
        <f t="shared" si="3"/>
        <v>0</v>
      </c>
      <c r="O66" s="505">
        <f t="shared" si="4"/>
        <v>0</v>
      </c>
      <c r="P66" s="279"/>
    </row>
    <row r="67" spans="2:16" ht="12.5">
      <c r="B67" s="145" t="str">
        <f t="shared" si="0"/>
        <v/>
      </c>
      <c r="C67" s="496">
        <f>IF(D11="","-",+C66+1)</f>
        <v>2070</v>
      </c>
      <c r="D67" s="509">
        <f>IF(F66+SUM(E$17:E66)=D$10,F66,D$10-SUM(E$17:E66))</f>
        <v>0</v>
      </c>
      <c r="E67" s="510">
        <f t="shared" si="7"/>
        <v>0</v>
      </c>
      <c r="F67" s="511">
        <f t="shared" si="8"/>
        <v>0</v>
      </c>
      <c r="G67" s="524">
        <f t="shared" si="9"/>
        <v>0</v>
      </c>
      <c r="H67" s="478">
        <f t="shared" si="10"/>
        <v>0</v>
      </c>
      <c r="I67" s="501">
        <f t="shared" si="1"/>
        <v>0</v>
      </c>
      <c r="J67" s="501"/>
      <c r="K67" s="513"/>
      <c r="L67" s="505">
        <f t="shared" si="2"/>
        <v>0</v>
      </c>
      <c r="M67" s="513"/>
      <c r="N67" s="505">
        <f t="shared" si="3"/>
        <v>0</v>
      </c>
      <c r="O67" s="505">
        <f t="shared" si="4"/>
        <v>0</v>
      </c>
      <c r="P67" s="279"/>
    </row>
    <row r="68" spans="2:16" ht="12.5">
      <c r="B68" s="145" t="str">
        <f t="shared" si="0"/>
        <v/>
      </c>
      <c r="C68" s="496">
        <f>IF(D11="","-",+C67+1)</f>
        <v>2071</v>
      </c>
      <c r="D68" s="509">
        <f>IF(F67+SUM(E$17:E67)=D$10,F67,D$10-SUM(E$17:E67))</f>
        <v>0</v>
      </c>
      <c r="E68" s="510">
        <f t="shared" si="7"/>
        <v>0</v>
      </c>
      <c r="F68" s="511">
        <f t="shared" si="8"/>
        <v>0</v>
      </c>
      <c r="G68" s="524">
        <f t="shared" si="9"/>
        <v>0</v>
      </c>
      <c r="H68" s="478">
        <f t="shared" si="10"/>
        <v>0</v>
      </c>
      <c r="I68" s="501">
        <f t="shared" si="1"/>
        <v>0</v>
      </c>
      <c r="J68" s="501"/>
      <c r="K68" s="513"/>
      <c r="L68" s="505">
        <f t="shared" si="2"/>
        <v>0</v>
      </c>
      <c r="M68" s="513"/>
      <c r="N68" s="505">
        <f t="shared" si="3"/>
        <v>0</v>
      </c>
      <c r="O68" s="505">
        <f t="shared" si="4"/>
        <v>0</v>
      </c>
      <c r="P68" s="279"/>
    </row>
    <row r="69" spans="2:16" ht="12.5">
      <c r="B69" s="145" t="str">
        <f t="shared" si="0"/>
        <v/>
      </c>
      <c r="C69" s="496">
        <f>IF(D11="","-",+C68+1)</f>
        <v>2072</v>
      </c>
      <c r="D69" s="509">
        <f>IF(F68+SUM(E$17:E68)=D$10,F68,D$10-SUM(E$17:E68))</f>
        <v>0</v>
      </c>
      <c r="E69" s="510">
        <f t="shared" si="7"/>
        <v>0</v>
      </c>
      <c r="F69" s="511">
        <f t="shared" si="8"/>
        <v>0</v>
      </c>
      <c r="G69" s="524">
        <f t="shared" si="9"/>
        <v>0</v>
      </c>
      <c r="H69" s="478">
        <f t="shared" si="10"/>
        <v>0</v>
      </c>
      <c r="I69" s="501">
        <f t="shared" si="1"/>
        <v>0</v>
      </c>
      <c r="J69" s="501"/>
      <c r="K69" s="513"/>
      <c r="L69" s="505">
        <f t="shared" si="2"/>
        <v>0</v>
      </c>
      <c r="M69" s="513"/>
      <c r="N69" s="505">
        <f t="shared" si="3"/>
        <v>0</v>
      </c>
      <c r="O69" s="505">
        <f t="shared" si="4"/>
        <v>0</v>
      </c>
      <c r="P69" s="279"/>
    </row>
    <row r="70" spans="2:16" ht="12.5">
      <c r="B70" s="145" t="str">
        <f t="shared" si="0"/>
        <v/>
      </c>
      <c r="C70" s="496">
        <f>IF(D11="","-",+C69+1)</f>
        <v>2073</v>
      </c>
      <c r="D70" s="509">
        <f>IF(F69+SUM(E$17:E69)=D$10,F69,D$10-SUM(E$17:E69))</f>
        <v>0</v>
      </c>
      <c r="E70" s="510">
        <f t="shared" si="7"/>
        <v>0</v>
      </c>
      <c r="F70" s="511">
        <f t="shared" si="8"/>
        <v>0</v>
      </c>
      <c r="G70" s="524">
        <f t="shared" si="9"/>
        <v>0</v>
      </c>
      <c r="H70" s="478">
        <f t="shared" si="10"/>
        <v>0</v>
      </c>
      <c r="I70" s="501">
        <f t="shared" si="1"/>
        <v>0</v>
      </c>
      <c r="J70" s="501"/>
      <c r="K70" s="513"/>
      <c r="L70" s="505">
        <f t="shared" si="2"/>
        <v>0</v>
      </c>
      <c r="M70" s="513"/>
      <c r="N70" s="505">
        <f t="shared" si="3"/>
        <v>0</v>
      </c>
      <c r="O70" s="505">
        <f t="shared" si="4"/>
        <v>0</v>
      </c>
      <c r="P70" s="279"/>
    </row>
    <row r="71" spans="2:16" ht="12.5">
      <c r="B71" s="145" t="str">
        <f t="shared" si="0"/>
        <v/>
      </c>
      <c r="C71" s="496">
        <f>IF(D11="","-",+C70+1)</f>
        <v>2074</v>
      </c>
      <c r="D71" s="509">
        <f>IF(F70+SUM(E$17:E70)=D$10,F70,D$10-SUM(E$17:E70))</f>
        <v>0</v>
      </c>
      <c r="E71" s="510">
        <f t="shared" si="7"/>
        <v>0</v>
      </c>
      <c r="F71" s="511">
        <f t="shared" si="8"/>
        <v>0</v>
      </c>
      <c r="G71" s="524">
        <f t="shared" si="9"/>
        <v>0</v>
      </c>
      <c r="H71" s="478">
        <f t="shared" si="10"/>
        <v>0</v>
      </c>
      <c r="I71" s="501">
        <f t="shared" si="1"/>
        <v>0</v>
      </c>
      <c r="J71" s="501"/>
      <c r="K71" s="513"/>
      <c r="L71" s="505">
        <f t="shared" si="2"/>
        <v>0</v>
      </c>
      <c r="M71" s="513"/>
      <c r="N71" s="505">
        <f t="shared" si="3"/>
        <v>0</v>
      </c>
      <c r="O71" s="505">
        <f t="shared" si="4"/>
        <v>0</v>
      </c>
      <c r="P71" s="279"/>
    </row>
    <row r="72" spans="2:16" ht="12.5">
      <c r="C72" s="496">
        <f>IF(D12="","-",+C71+1)</f>
        <v>2075</v>
      </c>
      <c r="D72" s="509">
        <f>IF(F71+SUM(E$17:E71)=D$10,F71,D$10-SUM(E$17:E71))</f>
        <v>0</v>
      </c>
      <c r="E72" s="510">
        <f>IF(+I$14&lt;F71,I$14,D72)</f>
        <v>0</v>
      </c>
      <c r="F72" s="511">
        <f>+D72-E72</f>
        <v>0</v>
      </c>
      <c r="G72" s="524">
        <f>(D72+F72)/2*I$12+E72</f>
        <v>0</v>
      </c>
      <c r="H72" s="478">
        <f>+(D72+F72)/2*I$13+E72</f>
        <v>0</v>
      </c>
      <c r="I72" s="501">
        <f>H72-G72</f>
        <v>0</v>
      </c>
      <c r="J72" s="501"/>
      <c r="K72" s="513"/>
      <c r="L72" s="505">
        <f>IF(K72&lt;&gt;0,+G72-K72,0)</f>
        <v>0</v>
      </c>
      <c r="M72" s="513"/>
      <c r="N72" s="505">
        <f>IF(M72&lt;&gt;0,+H72-M72,0)</f>
        <v>0</v>
      </c>
      <c r="O72" s="505">
        <f>+N72-L72</f>
        <v>0</v>
      </c>
      <c r="P72" s="279"/>
    </row>
    <row r="73" spans="2:16" ht="13" thickBot="1">
      <c r="B73" s="145" t="str">
        <f>IF(D73=F71,"","IU")</f>
        <v/>
      </c>
      <c r="C73" s="525">
        <f>IF(D13="","-",+C72+1)</f>
        <v>2076</v>
      </c>
      <c r="D73" s="527">
        <f>IF(F72+SUM(E$17:E72)=D$10,F72,D$10-SUM(E$17:E72))</f>
        <v>0</v>
      </c>
      <c r="E73" s="527">
        <f>IF(+I$14&lt;F72,I$14,D73)</f>
        <v>0</v>
      </c>
      <c r="F73" s="528">
        <f>+D73-E73</f>
        <v>0</v>
      </c>
      <c r="G73" s="529">
        <f>(D73+F73)/2*I$12+E73</f>
        <v>0</v>
      </c>
      <c r="H73" s="459">
        <f>+(D73+F73)/2*I$13+E73</f>
        <v>0</v>
      </c>
      <c r="I73" s="530">
        <f>H73-G73</f>
        <v>0</v>
      </c>
      <c r="J73" s="501"/>
      <c r="K73" s="531"/>
      <c r="L73" s="532">
        <f>IF(K73&lt;&gt;0,+G73-K73,0)</f>
        <v>0</v>
      </c>
      <c r="M73" s="531"/>
      <c r="N73" s="532">
        <f>IF(M73&lt;&gt;0,+H73-M73,0)</f>
        <v>0</v>
      </c>
      <c r="O73" s="532">
        <f>+N73-L73</f>
        <v>0</v>
      </c>
      <c r="P73" s="279"/>
    </row>
    <row r="74" spans="2:16" ht="12.5">
      <c r="C74" s="350" t="s">
        <v>75</v>
      </c>
      <c r="D74" s="295"/>
      <c r="E74" s="295">
        <f>SUM(E17:E73)</f>
        <v>3721554.1800000006</v>
      </c>
      <c r="F74" s="295"/>
      <c r="G74" s="295">
        <f>SUM(G17:G73)</f>
        <v>10673469.783026166</v>
      </c>
      <c r="H74" s="295">
        <f>SUM(H17:H73)</f>
        <v>10673469.783026166</v>
      </c>
      <c r="I74" s="295">
        <f>SUM(I17:I73)</f>
        <v>0</v>
      </c>
      <c r="J74" s="295"/>
      <c r="K74" s="295"/>
      <c r="L74" s="295"/>
      <c r="M74" s="295"/>
      <c r="N74" s="295"/>
      <c r="O74" s="279"/>
      <c r="P74" s="279"/>
    </row>
    <row r="75" spans="2:16" ht="12.5">
      <c r="D75" s="293"/>
      <c r="E75" s="244"/>
      <c r="F75" s="244"/>
      <c r="G75" s="244"/>
      <c r="H75" s="326"/>
      <c r="I75" s="326"/>
      <c r="J75" s="295"/>
      <c r="K75" s="326"/>
      <c r="L75" s="326"/>
      <c r="M75" s="326"/>
      <c r="N75" s="326"/>
      <c r="O75" s="244"/>
      <c r="P75" s="244"/>
    </row>
    <row r="76" spans="2:16" ht="13">
      <c r="C76" s="533" t="s">
        <v>95</v>
      </c>
      <c r="D76" s="293"/>
      <c r="E76" s="244"/>
      <c r="F76" s="244"/>
      <c r="G76" s="244"/>
      <c r="H76" s="326"/>
      <c r="I76" s="326"/>
      <c r="J76" s="295"/>
      <c r="K76" s="326"/>
      <c r="L76" s="326"/>
      <c r="M76" s="326"/>
      <c r="N76" s="326"/>
      <c r="O76" s="244"/>
      <c r="P76" s="244"/>
    </row>
    <row r="77" spans="2:16" ht="13">
      <c r="C77" s="455" t="s">
        <v>76</v>
      </c>
      <c r="D77" s="293"/>
      <c r="E77" s="244"/>
      <c r="F77" s="244"/>
      <c r="G77" s="244"/>
      <c r="H77" s="326"/>
      <c r="I77" s="326"/>
      <c r="J77" s="295"/>
      <c r="K77" s="326"/>
      <c r="L77" s="326"/>
      <c r="M77" s="326"/>
      <c r="N77" s="326"/>
      <c r="O77" s="279"/>
      <c r="P77" s="279"/>
    </row>
    <row r="78" spans="2:16" ht="13">
      <c r="C78" s="455" t="s">
        <v>77</v>
      </c>
      <c r="D78" s="350"/>
      <c r="E78" s="350"/>
      <c r="F78" s="350"/>
      <c r="G78" s="295"/>
      <c r="H78" s="295"/>
      <c r="I78" s="351"/>
      <c r="J78" s="351"/>
      <c r="K78" s="351"/>
      <c r="L78" s="351"/>
      <c r="M78" s="351"/>
      <c r="N78" s="351"/>
      <c r="O78" s="279"/>
      <c r="P78" s="279"/>
    </row>
    <row r="79" spans="2:16" ht="13">
      <c r="C79" s="455"/>
      <c r="D79" s="350"/>
      <c r="E79" s="350"/>
      <c r="F79" s="350"/>
      <c r="G79" s="295"/>
      <c r="H79" s="295"/>
      <c r="I79" s="351"/>
      <c r="J79" s="351"/>
      <c r="K79" s="351"/>
      <c r="L79" s="351"/>
      <c r="M79" s="351"/>
      <c r="N79" s="351"/>
      <c r="O79" s="279"/>
      <c r="P79" s="244"/>
    </row>
    <row r="80" spans="2:16" ht="12.5">
      <c r="B80" s="244"/>
      <c r="C80" s="249"/>
      <c r="D80" s="293"/>
      <c r="E80" s="244"/>
      <c r="F80" s="348"/>
      <c r="G80" s="244"/>
      <c r="H80" s="326"/>
      <c r="I80" s="244"/>
      <c r="J80" s="279"/>
      <c r="K80" s="244"/>
      <c r="L80" s="244"/>
      <c r="M80" s="244"/>
      <c r="N80" s="244"/>
      <c r="O80" s="244"/>
      <c r="P80" s="244"/>
    </row>
    <row r="81" spans="1:16" ht="17.5">
      <c r="B81" s="244"/>
      <c r="C81" s="536"/>
      <c r="D81" s="293"/>
      <c r="E81" s="244"/>
      <c r="F81" s="348"/>
      <c r="G81" s="244"/>
      <c r="H81" s="326"/>
      <c r="I81" s="244"/>
      <c r="J81" s="279"/>
      <c r="K81" s="244"/>
      <c r="L81" s="244"/>
      <c r="M81" s="244"/>
      <c r="N81" s="244"/>
      <c r="P81" s="537" t="s">
        <v>128</v>
      </c>
    </row>
    <row r="82" spans="1:16" ht="12.5">
      <c r="B82" s="244"/>
      <c r="C82" s="249"/>
      <c r="D82" s="293"/>
      <c r="E82" s="244"/>
      <c r="F82" s="348"/>
      <c r="G82" s="244"/>
      <c r="H82" s="326"/>
      <c r="I82" s="244"/>
      <c r="J82" s="279"/>
      <c r="K82" s="244"/>
      <c r="L82" s="244"/>
      <c r="M82" s="244"/>
      <c r="N82" s="244"/>
      <c r="O82" s="244"/>
      <c r="P82" s="244"/>
    </row>
    <row r="83" spans="1:16" ht="12.5">
      <c r="B83" s="244"/>
      <c r="C83" s="249"/>
      <c r="D83" s="293"/>
      <c r="E83" s="244"/>
      <c r="F83" s="348"/>
      <c r="G83" s="244"/>
      <c r="H83" s="326"/>
      <c r="I83" s="244"/>
      <c r="J83" s="279"/>
      <c r="K83" s="244"/>
      <c r="L83" s="244"/>
      <c r="M83" s="244"/>
      <c r="N83" s="244"/>
      <c r="O83" s="244"/>
      <c r="P83" s="244"/>
    </row>
    <row r="84" spans="1:16" ht="20">
      <c r="A84" s="438" t="s">
        <v>190</v>
      </c>
      <c r="B84" s="244"/>
      <c r="C84" s="249"/>
      <c r="D84" s="293"/>
      <c r="E84" s="244"/>
      <c r="F84" s="340"/>
      <c r="G84" s="340"/>
      <c r="H84" s="244"/>
      <c r="I84" s="326"/>
      <c r="K84" s="221"/>
      <c r="L84" s="439"/>
      <c r="M84" s="439"/>
      <c r="P84" s="439" t="str">
        <f ca="1">P1</f>
        <v>OKT Project 20 of 23</v>
      </c>
    </row>
    <row r="85" spans="1:16" ht="17.5">
      <c r="B85" s="244"/>
      <c r="C85" s="244"/>
      <c r="D85" s="293"/>
      <c r="E85" s="244"/>
      <c r="F85" s="244"/>
      <c r="G85" s="244"/>
      <c r="H85" s="244"/>
      <c r="I85" s="326"/>
      <c r="J85" s="244"/>
      <c r="K85" s="279"/>
      <c r="L85" s="244"/>
      <c r="M85" s="244"/>
      <c r="P85" s="442" t="s">
        <v>132</v>
      </c>
    </row>
    <row r="86" spans="1:16" ht="17.5" thickBot="1">
      <c r="B86" s="234" t="s">
        <v>42</v>
      </c>
      <c r="C86" s="538" t="s">
        <v>81</v>
      </c>
      <c r="D86" s="293"/>
      <c r="E86" s="244"/>
      <c r="F86" s="244"/>
      <c r="G86" s="244"/>
      <c r="H86" s="244"/>
      <c r="I86" s="326"/>
      <c r="J86" s="326"/>
      <c r="K86" s="295"/>
      <c r="L86" s="326"/>
      <c r="M86" s="326"/>
      <c r="N86" s="326"/>
      <c r="O86" s="295"/>
      <c r="P86" s="244"/>
    </row>
    <row r="87" spans="1:16" ht="16" thickBot="1">
      <c r="C87" s="305"/>
      <c r="D87" s="293"/>
      <c r="E87" s="244"/>
      <c r="F87" s="244"/>
      <c r="G87" s="244"/>
      <c r="H87" s="244"/>
      <c r="I87" s="326"/>
      <c r="J87" s="326"/>
      <c r="K87" s="295"/>
      <c r="L87" s="539">
        <f>+J93</f>
        <v>2023</v>
      </c>
      <c r="M87" s="540" t="s">
        <v>9</v>
      </c>
      <c r="N87" s="541" t="s">
        <v>134</v>
      </c>
      <c r="O87" s="542" t="s">
        <v>11</v>
      </c>
      <c r="P87" s="244"/>
    </row>
    <row r="88" spans="1:16" ht="15.5">
      <c r="C88" s="233" t="s">
        <v>44</v>
      </c>
      <c r="D88" s="293"/>
      <c r="E88" s="244"/>
      <c r="F88" s="244"/>
      <c r="G88" s="244"/>
      <c r="H88" s="445"/>
      <c r="I88" s="244" t="s">
        <v>45</v>
      </c>
      <c r="J88" s="244"/>
      <c r="K88" s="543"/>
      <c r="L88" s="544" t="s">
        <v>253</v>
      </c>
      <c r="M88" s="545">
        <f>IF(J93&lt;D11,0,VLOOKUP(J93,C17:O73,9))</f>
        <v>481393.21655361552</v>
      </c>
      <c r="N88" s="545">
        <f>IF(J93&lt;D11,0,VLOOKUP(J93,C17:O73,11))</f>
        <v>481393.21655361552</v>
      </c>
      <c r="O88" s="546">
        <f>+N88-M88</f>
        <v>0</v>
      </c>
      <c r="P88" s="244"/>
    </row>
    <row r="89" spans="1:16" ht="15.5">
      <c r="C89" s="236"/>
      <c r="D89" s="293"/>
      <c r="E89" s="244"/>
      <c r="F89" s="244"/>
      <c r="G89" s="244"/>
      <c r="H89" s="244"/>
      <c r="I89" s="450"/>
      <c r="J89" s="450"/>
      <c r="K89" s="547"/>
      <c r="L89" s="548" t="s">
        <v>254</v>
      </c>
      <c r="M89" s="549">
        <f>IF(J93&lt;D11,0,VLOOKUP(J93,C100:P155,6))</f>
        <v>551199.706951787</v>
      </c>
      <c r="N89" s="549">
        <f>IF(J93&lt;D11,0,VLOOKUP(J93,C100:P155,7))</f>
        <v>551199.706951787</v>
      </c>
      <c r="O89" s="550">
        <f>+N89-M89</f>
        <v>0</v>
      </c>
      <c r="P89" s="244"/>
    </row>
    <row r="90" spans="1:16" ht="13.5" thickBot="1">
      <c r="C90" s="455" t="s">
        <v>82</v>
      </c>
      <c r="D90" s="551" t="str">
        <f>+D7</f>
        <v>Keystone Dam - Wekiwa 138 kV</v>
      </c>
      <c r="E90" s="244"/>
      <c r="F90" s="244"/>
      <c r="G90" s="244"/>
      <c r="H90" s="244"/>
      <c r="I90" s="326"/>
      <c r="J90" s="326"/>
      <c r="K90" s="552"/>
      <c r="L90" s="553" t="s">
        <v>135</v>
      </c>
      <c r="M90" s="554">
        <f>+M89-M88</f>
        <v>69806.490398171474</v>
      </c>
      <c r="N90" s="554">
        <f>+N89-N88</f>
        <v>69806.490398171474</v>
      </c>
      <c r="O90" s="555">
        <f>+O89-O88</f>
        <v>0</v>
      </c>
      <c r="P90" s="244"/>
    </row>
    <row r="91" spans="1:16" ht="13.5" thickBot="1">
      <c r="C91" s="533"/>
      <c r="D91" s="556" t="str">
        <f>IF(D8="","",D8)</f>
        <v/>
      </c>
      <c r="E91" s="348"/>
      <c r="F91" s="348"/>
      <c r="G91" s="348"/>
      <c r="H91" s="462"/>
      <c r="I91" s="326"/>
      <c r="J91" s="326"/>
      <c r="K91" s="295"/>
      <c r="L91" s="326"/>
      <c r="M91" s="326"/>
      <c r="N91" s="326"/>
      <c r="O91" s="295"/>
      <c r="P91" s="244"/>
    </row>
    <row r="92" spans="1:16" ht="13.5" thickBot="1">
      <c r="A92" s="152"/>
      <c r="C92" s="557" t="s">
        <v>83</v>
      </c>
      <c r="D92" s="558" t="str">
        <f>+D9</f>
        <v>TP2015118</v>
      </c>
      <c r="E92" s="559"/>
      <c r="F92" s="559"/>
      <c r="G92" s="559"/>
      <c r="H92" s="559"/>
      <c r="I92" s="559"/>
      <c r="J92" s="559"/>
      <c r="K92" s="561"/>
      <c r="P92" s="469"/>
    </row>
    <row r="93" spans="1:16" ht="13">
      <c r="C93" s="473" t="s">
        <v>49</v>
      </c>
      <c r="D93" s="475">
        <f>D10</f>
        <v>3721554.18</v>
      </c>
      <c r="E93" s="249" t="s">
        <v>84</v>
      </c>
      <c r="H93" s="409"/>
      <c r="I93" s="409"/>
      <c r="J93" s="472">
        <f>+'OKT.WS.G.BPU.ATRR.True-up'!M16</f>
        <v>2023</v>
      </c>
      <c r="K93" s="468"/>
      <c r="L93" s="295" t="s">
        <v>85</v>
      </c>
      <c r="P93" s="279"/>
    </row>
    <row r="94" spans="1:16" ht="12.5">
      <c r="C94" s="473" t="s">
        <v>52</v>
      </c>
      <c r="D94" s="562">
        <f>IF(D11="","",D11)</f>
        <v>2020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row>
    <row r="95" spans="1:16" ht="12.5">
      <c r="C95" s="473" t="s">
        <v>54</v>
      </c>
      <c r="D95" s="562">
        <f>IF(D12="","",D12)</f>
        <v>6</v>
      </c>
      <c r="E95" s="473" t="s">
        <v>55</v>
      </c>
      <c r="F95" s="409"/>
      <c r="G95" s="409"/>
      <c r="J95" s="477">
        <f>'OKT.WS.G.BPU.ATRR.True-up'!$F$81</f>
        <v>0.10963416019310859</v>
      </c>
      <c r="K95" s="414"/>
      <c r="L95" s="145" t="s">
        <v>86</v>
      </c>
      <c r="P95" s="279"/>
    </row>
    <row r="96" spans="1:16" ht="12.5">
      <c r="C96" s="473" t="s">
        <v>57</v>
      </c>
      <c r="D96" s="475">
        <f>'OKT.WS.G.BPU.ATRR.True-up'!F$93</f>
        <v>19</v>
      </c>
      <c r="E96" s="473" t="s">
        <v>58</v>
      </c>
      <c r="F96" s="409"/>
      <c r="G96" s="409"/>
      <c r="J96" s="477">
        <f>IF(H88="",J95,'OKT.WS.G.BPU.ATRR.True-up'!$F$80)</f>
        <v>0.10963416019310859</v>
      </c>
      <c r="K96" s="292"/>
      <c r="L96" s="295" t="s">
        <v>59</v>
      </c>
      <c r="M96" s="292"/>
      <c r="N96" s="292"/>
      <c r="O96" s="292"/>
      <c r="P96" s="279"/>
    </row>
    <row r="97" spans="1:16" ht="13" thickBot="1">
      <c r="C97" s="473" t="s">
        <v>60</v>
      </c>
      <c r="D97" s="563" t="str">
        <f>+D14</f>
        <v>No</v>
      </c>
      <c r="E97" s="564" t="s">
        <v>62</v>
      </c>
      <c r="F97" s="565"/>
      <c r="G97" s="565"/>
      <c r="H97" s="566"/>
      <c r="I97" s="566"/>
      <c r="J97" s="459">
        <f>IF(D93=0,0,D93/D96)</f>
        <v>195871.27263157896</v>
      </c>
      <c r="K97" s="295"/>
      <c r="L97" s="295"/>
      <c r="M97" s="295"/>
      <c r="N97" s="295"/>
      <c r="O97" s="295"/>
      <c r="P97" s="279"/>
    </row>
    <row r="98" spans="1:16" ht="39">
      <c r="A98" s="643"/>
      <c r="B98" s="643"/>
      <c r="C98" s="567" t="s">
        <v>49</v>
      </c>
      <c r="D98" s="568" t="s">
        <v>193</v>
      </c>
      <c r="E98" s="486" t="s">
        <v>63</v>
      </c>
      <c r="F98" s="486" t="s">
        <v>64</v>
      </c>
      <c r="G98" s="481" t="s">
        <v>87</v>
      </c>
      <c r="H98" s="482" t="s">
        <v>251</v>
      </c>
      <c r="I98" s="483" t="s">
        <v>252</v>
      </c>
      <c r="J98" s="567" t="s">
        <v>88</v>
      </c>
      <c r="K98" s="569"/>
      <c r="L98" s="486" t="s">
        <v>91</v>
      </c>
      <c r="M98" s="486" t="s">
        <v>89</v>
      </c>
      <c r="N98" s="486" t="s">
        <v>91</v>
      </c>
      <c r="O98" s="486" t="s">
        <v>89</v>
      </c>
      <c r="P98" s="486" t="s">
        <v>67</v>
      </c>
    </row>
    <row r="99" spans="1:16" ht="13.5" thickBot="1">
      <c r="C99" s="487" t="s">
        <v>68</v>
      </c>
      <c r="D99" s="570" t="s">
        <v>69</v>
      </c>
      <c r="E99" s="487" t="s">
        <v>70</v>
      </c>
      <c r="F99" s="487" t="s">
        <v>69</v>
      </c>
      <c r="G99" s="487" t="s">
        <v>69</v>
      </c>
      <c r="H99" s="494" t="s">
        <v>71</v>
      </c>
      <c r="I99" s="490" t="s">
        <v>72</v>
      </c>
      <c r="J99" s="491" t="s">
        <v>93</v>
      </c>
      <c r="K99" s="492"/>
      <c r="L99" s="493" t="s">
        <v>74</v>
      </c>
      <c r="M99" s="493" t="s">
        <v>74</v>
      </c>
      <c r="N99" s="493" t="s">
        <v>94</v>
      </c>
      <c r="O99" s="493" t="s">
        <v>94</v>
      </c>
      <c r="P99" s="493" t="s">
        <v>94</v>
      </c>
    </row>
    <row r="100" spans="1:16" ht="12.5">
      <c r="B100" s="145" t="str">
        <f t="shared" ref="B100:B155" si="11">IF(D100=F99,"","IU")</f>
        <v>IU</v>
      </c>
      <c r="C100" s="496">
        <f>IF(D94= "","-",D94)</f>
        <v>2020</v>
      </c>
      <c r="D100" s="497">
        <v>0</v>
      </c>
      <c r="E100" s="499">
        <v>61039.07142857142</v>
      </c>
      <c r="F100" s="506">
        <v>3357148.9285714286</v>
      </c>
      <c r="G100" s="506">
        <v>1678574.4642857143</v>
      </c>
      <c r="H100" s="506">
        <v>239662.05345541207</v>
      </c>
      <c r="I100" s="500">
        <v>239662.05345541207</v>
      </c>
      <c r="J100" s="505">
        <f t="shared" ref="J100:J131" si="12">+I100-H100</f>
        <v>0</v>
      </c>
      <c r="K100" s="505"/>
      <c r="L100" s="507">
        <f>+H100</f>
        <v>239662.05345541207</v>
      </c>
      <c r="M100" s="505">
        <f t="shared" ref="M100:M131" si="13">IF(L100&lt;&gt;0,+H100-L100,0)</f>
        <v>0</v>
      </c>
      <c r="N100" s="507">
        <f>+I100</f>
        <v>239662.05345541207</v>
      </c>
      <c r="O100" s="587">
        <f t="shared" ref="O100:O131" si="14">IF(N100&lt;&gt;0,+I100-N100,0)</f>
        <v>0</v>
      </c>
      <c r="P100" s="505">
        <f t="shared" ref="P100:P131" si="15">+O100-M100</f>
        <v>0</v>
      </c>
    </row>
    <row r="101" spans="1:16" ht="12.5">
      <c r="B101" s="145" t="str">
        <f t="shared" si="11"/>
        <v>IU</v>
      </c>
      <c r="C101" s="496">
        <f>IF(D94="","-",+C100+1)</f>
        <v>2021</v>
      </c>
      <c r="D101" s="497">
        <v>3547310.9285714286</v>
      </c>
      <c r="E101" s="499">
        <v>144334</v>
      </c>
      <c r="F101" s="506">
        <v>3402976.9285714286</v>
      </c>
      <c r="G101" s="506">
        <v>3475143.9285714286</v>
      </c>
      <c r="H101" s="499">
        <v>554268.97375299619</v>
      </c>
      <c r="I101" s="500">
        <v>554268.97375299619</v>
      </c>
      <c r="J101" s="505">
        <f t="shared" si="12"/>
        <v>0</v>
      </c>
      <c r="K101" s="505"/>
      <c r="L101" s="507">
        <f>H101</f>
        <v>554268.97375299619</v>
      </c>
      <c r="M101" s="505">
        <f>IF(L101&lt;&gt;0,+H101-L101,0)</f>
        <v>0</v>
      </c>
      <c r="N101" s="507">
        <f>I101</f>
        <v>554268.97375299619</v>
      </c>
      <c r="O101" s="505">
        <f t="shared" si="14"/>
        <v>0</v>
      </c>
      <c r="P101" s="505">
        <f t="shared" si="15"/>
        <v>0</v>
      </c>
    </row>
    <row r="102" spans="1:16" ht="12.5">
      <c r="B102" s="145" t="str">
        <f t="shared" si="11"/>
        <v>IU</v>
      </c>
      <c r="C102" s="496">
        <f>IF(D94="","-",+C101+1)</f>
        <v>2022</v>
      </c>
      <c r="D102" s="497">
        <v>3515992.4585714284</v>
      </c>
      <c r="E102" s="499">
        <v>177207.88238095236</v>
      </c>
      <c r="F102" s="506">
        <v>3338784.5761904763</v>
      </c>
      <c r="G102" s="506">
        <v>3427388.5173809524</v>
      </c>
      <c r="H102" s="499">
        <v>571241.0854974736</v>
      </c>
      <c r="I102" s="500">
        <v>571241.0854974736</v>
      </c>
      <c r="J102" s="505">
        <f t="shared" si="12"/>
        <v>0</v>
      </c>
      <c r="K102" s="505"/>
      <c r="L102" s="507">
        <f>H102</f>
        <v>571241.0854974736</v>
      </c>
      <c r="M102" s="505">
        <f>IF(L102&lt;&gt;0,+H102-L102,0)</f>
        <v>0</v>
      </c>
      <c r="N102" s="507">
        <f>I102</f>
        <v>571241.0854974736</v>
      </c>
      <c r="O102" s="505">
        <f t="shared" ref="O102" si="16">IF(N102&lt;&gt;0,+I102-N102,0)</f>
        <v>0</v>
      </c>
      <c r="P102" s="505">
        <f t="shared" ref="P102" si="17">+O102-M102</f>
        <v>0</v>
      </c>
    </row>
    <row r="103" spans="1:16" ht="12.5">
      <c r="B103" s="145" t="str">
        <f t="shared" si="11"/>
        <v>IU</v>
      </c>
      <c r="C103" s="496">
        <f>IF(D94="","-",+C102+1)</f>
        <v>2023</v>
      </c>
      <c r="D103" s="350">
        <f>IF(F102+SUM(E$100:E102)=D$93,F102,D$93-SUM(E$100:E102))</f>
        <v>3338973.2261904762</v>
      </c>
      <c r="E103" s="510">
        <f t="shared" ref="E103:E155" si="18">IF(+J$97&lt;F102,J$97,D103)</f>
        <v>195871.27263157896</v>
      </c>
      <c r="F103" s="511">
        <f t="shared" ref="F103:F155" si="19">+D103-E103</f>
        <v>3143101.9535588971</v>
      </c>
      <c r="G103" s="511">
        <f t="shared" ref="G103:G155" si="20">+(F103+D103)/2</f>
        <v>3241037.5898746867</v>
      </c>
      <c r="H103" s="645">
        <f t="shared" ref="H103:H131" si="21">(D103+F103)/2*J$95+E103</f>
        <v>551199.706951787</v>
      </c>
      <c r="I103" s="628">
        <f t="shared" ref="I103:I155" si="22">+J$96*G103+E103</f>
        <v>551199.706951787</v>
      </c>
      <c r="J103" s="505">
        <f t="shared" si="12"/>
        <v>0</v>
      </c>
      <c r="K103" s="505"/>
      <c r="L103" s="513"/>
      <c r="M103" s="505">
        <f t="shared" si="13"/>
        <v>0</v>
      </c>
      <c r="N103" s="513"/>
      <c r="O103" s="505">
        <f t="shared" si="14"/>
        <v>0</v>
      </c>
      <c r="P103" s="505">
        <f t="shared" si="15"/>
        <v>0</v>
      </c>
    </row>
    <row r="104" spans="1:16" ht="12.5">
      <c r="B104" s="145" t="str">
        <f t="shared" si="11"/>
        <v/>
      </c>
      <c r="C104" s="496">
        <f>IF(D94="","-",+C103+1)</f>
        <v>2024</v>
      </c>
      <c r="D104" s="350">
        <f>IF(F103+SUM(E$100:E103)=D$93,F103,D$93-SUM(E$100:E103))</f>
        <v>3143101.9535588971</v>
      </c>
      <c r="E104" s="510">
        <f t="shared" si="18"/>
        <v>195871.27263157896</v>
      </c>
      <c r="F104" s="511">
        <f t="shared" si="19"/>
        <v>2947230.6809273181</v>
      </c>
      <c r="G104" s="511">
        <f t="shared" si="20"/>
        <v>3045166.3172431076</v>
      </c>
      <c r="H104" s="645">
        <f t="shared" si="21"/>
        <v>529725.52447086829</v>
      </c>
      <c r="I104" s="628">
        <f t="shared" si="22"/>
        <v>529725.52447086829</v>
      </c>
      <c r="J104" s="505">
        <f t="shared" si="12"/>
        <v>0</v>
      </c>
      <c r="K104" s="505"/>
      <c r="L104" s="513"/>
      <c r="M104" s="505">
        <f t="shared" si="13"/>
        <v>0</v>
      </c>
      <c r="N104" s="513"/>
      <c r="O104" s="505">
        <f t="shared" si="14"/>
        <v>0</v>
      </c>
      <c r="P104" s="505">
        <f t="shared" si="15"/>
        <v>0</v>
      </c>
    </row>
    <row r="105" spans="1:16" ht="12.5">
      <c r="B105" s="145" t="str">
        <f t="shared" si="11"/>
        <v/>
      </c>
      <c r="C105" s="496">
        <f>IF(D94="","-",+C104+1)</f>
        <v>2025</v>
      </c>
      <c r="D105" s="350">
        <f>IF(F104+SUM(E$100:E104)=D$93,F104,D$93-SUM(E$100:E104))</f>
        <v>2947230.6809273181</v>
      </c>
      <c r="E105" s="510">
        <f t="shared" si="18"/>
        <v>195871.27263157896</v>
      </c>
      <c r="F105" s="511">
        <f t="shared" si="19"/>
        <v>2751359.408295739</v>
      </c>
      <c r="G105" s="511">
        <f t="shared" si="20"/>
        <v>2849295.0446115285</v>
      </c>
      <c r="H105" s="645">
        <f t="shared" si="21"/>
        <v>508251.34198994975</v>
      </c>
      <c r="I105" s="628">
        <f t="shared" si="22"/>
        <v>508251.34198994975</v>
      </c>
      <c r="J105" s="505">
        <f t="shared" si="12"/>
        <v>0</v>
      </c>
      <c r="K105" s="505"/>
      <c r="L105" s="513"/>
      <c r="M105" s="505">
        <f t="shared" si="13"/>
        <v>0</v>
      </c>
      <c r="N105" s="513"/>
      <c r="O105" s="505">
        <f t="shared" si="14"/>
        <v>0</v>
      </c>
      <c r="P105" s="505">
        <f t="shared" si="15"/>
        <v>0</v>
      </c>
    </row>
    <row r="106" spans="1:16" ht="12.5">
      <c r="B106" s="145" t="str">
        <f t="shared" si="11"/>
        <v/>
      </c>
      <c r="C106" s="496">
        <f>IF(D94="","-",+C105+1)</f>
        <v>2026</v>
      </c>
      <c r="D106" s="350">
        <f>IF(F105+SUM(E$100:E105)=D$93,F105,D$93-SUM(E$100:E105))</f>
        <v>2751359.408295739</v>
      </c>
      <c r="E106" s="510">
        <f t="shared" si="18"/>
        <v>195871.27263157896</v>
      </c>
      <c r="F106" s="511">
        <f t="shared" si="19"/>
        <v>2555488.1356641599</v>
      </c>
      <c r="G106" s="511">
        <f t="shared" si="20"/>
        <v>2653423.7719799494</v>
      </c>
      <c r="H106" s="645">
        <f t="shared" si="21"/>
        <v>486777.15950903116</v>
      </c>
      <c r="I106" s="628">
        <f t="shared" si="22"/>
        <v>486777.15950903116</v>
      </c>
      <c r="J106" s="505">
        <f t="shared" si="12"/>
        <v>0</v>
      </c>
      <c r="K106" s="505"/>
      <c r="L106" s="513"/>
      <c r="M106" s="505">
        <f t="shared" si="13"/>
        <v>0</v>
      </c>
      <c r="N106" s="513"/>
      <c r="O106" s="505">
        <f t="shared" si="14"/>
        <v>0</v>
      </c>
      <c r="P106" s="505">
        <f t="shared" si="15"/>
        <v>0</v>
      </c>
    </row>
    <row r="107" spans="1:16" ht="12.5">
      <c r="B107" s="145" t="str">
        <f t="shared" si="11"/>
        <v/>
      </c>
      <c r="C107" s="496">
        <f>IF(D94="","-",+C106+1)</f>
        <v>2027</v>
      </c>
      <c r="D107" s="350">
        <f>IF(F106+SUM(E$100:E106)=D$93,F106,D$93-SUM(E$100:E106))</f>
        <v>2555488.1356641599</v>
      </c>
      <c r="E107" s="510">
        <f t="shared" si="18"/>
        <v>195871.27263157896</v>
      </c>
      <c r="F107" s="511">
        <f t="shared" si="19"/>
        <v>2359616.8630325808</v>
      </c>
      <c r="G107" s="511">
        <f t="shared" si="20"/>
        <v>2457552.4993483704</v>
      </c>
      <c r="H107" s="645">
        <f t="shared" si="21"/>
        <v>465302.97702811263</v>
      </c>
      <c r="I107" s="628">
        <f t="shared" si="22"/>
        <v>465302.97702811263</v>
      </c>
      <c r="J107" s="505">
        <f t="shared" si="12"/>
        <v>0</v>
      </c>
      <c r="K107" s="505"/>
      <c r="L107" s="513"/>
      <c r="M107" s="505">
        <f t="shared" si="13"/>
        <v>0</v>
      </c>
      <c r="N107" s="513"/>
      <c r="O107" s="505">
        <f t="shared" si="14"/>
        <v>0</v>
      </c>
      <c r="P107" s="505">
        <f t="shared" si="15"/>
        <v>0</v>
      </c>
    </row>
    <row r="108" spans="1:16" ht="12.5">
      <c r="B108" s="145" t="str">
        <f t="shared" si="11"/>
        <v/>
      </c>
      <c r="C108" s="496">
        <f>IF(D94="","-",+C107+1)</f>
        <v>2028</v>
      </c>
      <c r="D108" s="350">
        <f>IF(F107+SUM(E$100:E107)=D$93,F107,D$93-SUM(E$100:E107))</f>
        <v>2359616.8630325808</v>
      </c>
      <c r="E108" s="510">
        <f t="shared" si="18"/>
        <v>195871.27263157896</v>
      </c>
      <c r="F108" s="511">
        <f t="shared" si="19"/>
        <v>2163745.5904010017</v>
      </c>
      <c r="G108" s="511">
        <f t="shared" si="20"/>
        <v>2261681.2267167913</v>
      </c>
      <c r="H108" s="645">
        <f t="shared" si="21"/>
        <v>443828.79454719403</v>
      </c>
      <c r="I108" s="628">
        <f t="shared" si="22"/>
        <v>443828.79454719403</v>
      </c>
      <c r="J108" s="505">
        <f t="shared" si="12"/>
        <v>0</v>
      </c>
      <c r="K108" s="505"/>
      <c r="L108" s="513"/>
      <c r="M108" s="505">
        <f t="shared" si="13"/>
        <v>0</v>
      </c>
      <c r="N108" s="513"/>
      <c r="O108" s="505">
        <f t="shared" si="14"/>
        <v>0</v>
      </c>
      <c r="P108" s="505">
        <f t="shared" si="15"/>
        <v>0</v>
      </c>
    </row>
    <row r="109" spans="1:16" ht="12.5">
      <c r="B109" s="145" t="str">
        <f t="shared" si="11"/>
        <v/>
      </c>
      <c r="C109" s="496">
        <f>IF(D94="","-",+C108+1)</f>
        <v>2029</v>
      </c>
      <c r="D109" s="350">
        <f>IF(F108+SUM(E$100:E108)=D$93,F108,D$93-SUM(E$100:E108))</f>
        <v>2163745.5904010017</v>
      </c>
      <c r="E109" s="510">
        <f t="shared" si="18"/>
        <v>195871.27263157896</v>
      </c>
      <c r="F109" s="511">
        <f t="shared" si="19"/>
        <v>1967874.3177694227</v>
      </c>
      <c r="G109" s="511">
        <f t="shared" si="20"/>
        <v>2065809.9540852122</v>
      </c>
      <c r="H109" s="645">
        <f t="shared" si="21"/>
        <v>422354.61206627544</v>
      </c>
      <c r="I109" s="628">
        <f t="shared" si="22"/>
        <v>422354.61206627544</v>
      </c>
      <c r="J109" s="505">
        <f t="shared" si="12"/>
        <v>0</v>
      </c>
      <c r="K109" s="505"/>
      <c r="L109" s="513"/>
      <c r="M109" s="505">
        <f t="shared" si="13"/>
        <v>0</v>
      </c>
      <c r="N109" s="513"/>
      <c r="O109" s="505">
        <f t="shared" si="14"/>
        <v>0</v>
      </c>
      <c r="P109" s="505">
        <f t="shared" si="15"/>
        <v>0</v>
      </c>
    </row>
    <row r="110" spans="1:16" ht="12.5">
      <c r="B110" s="145" t="str">
        <f t="shared" si="11"/>
        <v/>
      </c>
      <c r="C110" s="496">
        <f>IF(D94="","-",+C109+1)</f>
        <v>2030</v>
      </c>
      <c r="D110" s="350">
        <f>IF(F109+SUM(E$100:E109)=D$93,F109,D$93-SUM(E$100:E109))</f>
        <v>1967874.3177694227</v>
      </c>
      <c r="E110" s="510">
        <f t="shared" si="18"/>
        <v>195871.27263157896</v>
      </c>
      <c r="F110" s="511">
        <f t="shared" si="19"/>
        <v>1772003.0451378436</v>
      </c>
      <c r="G110" s="511">
        <f t="shared" si="20"/>
        <v>1869938.6814536331</v>
      </c>
      <c r="H110" s="645">
        <f t="shared" si="21"/>
        <v>400880.42958535685</v>
      </c>
      <c r="I110" s="628">
        <f t="shared" si="22"/>
        <v>400880.42958535685</v>
      </c>
      <c r="J110" s="505">
        <f t="shared" si="12"/>
        <v>0</v>
      </c>
      <c r="K110" s="505"/>
      <c r="L110" s="513"/>
      <c r="M110" s="505">
        <f t="shared" si="13"/>
        <v>0</v>
      </c>
      <c r="N110" s="513"/>
      <c r="O110" s="505">
        <f t="shared" si="14"/>
        <v>0</v>
      </c>
      <c r="P110" s="505">
        <f t="shared" si="15"/>
        <v>0</v>
      </c>
    </row>
    <row r="111" spans="1:16" ht="12.5">
      <c r="B111" s="145" t="str">
        <f t="shared" si="11"/>
        <v/>
      </c>
      <c r="C111" s="496">
        <f>IF(D94="","-",+C110+1)</f>
        <v>2031</v>
      </c>
      <c r="D111" s="350">
        <f>IF(F110+SUM(E$100:E110)=D$93,F110,D$93-SUM(E$100:E110))</f>
        <v>1772003.0451378436</v>
      </c>
      <c r="E111" s="510">
        <f t="shared" si="18"/>
        <v>195871.27263157896</v>
      </c>
      <c r="F111" s="511">
        <f t="shared" si="19"/>
        <v>1576131.7725062645</v>
      </c>
      <c r="G111" s="511">
        <f t="shared" si="20"/>
        <v>1674067.408822054</v>
      </c>
      <c r="H111" s="645">
        <f t="shared" si="21"/>
        <v>379406.24710443825</v>
      </c>
      <c r="I111" s="628">
        <f t="shared" si="22"/>
        <v>379406.24710443825</v>
      </c>
      <c r="J111" s="505">
        <f t="shared" si="12"/>
        <v>0</v>
      </c>
      <c r="K111" s="505"/>
      <c r="L111" s="513"/>
      <c r="M111" s="505">
        <f t="shared" si="13"/>
        <v>0</v>
      </c>
      <c r="N111" s="513"/>
      <c r="O111" s="505">
        <f t="shared" si="14"/>
        <v>0</v>
      </c>
      <c r="P111" s="505">
        <f t="shared" si="15"/>
        <v>0</v>
      </c>
    </row>
    <row r="112" spans="1:16" ht="12.5">
      <c r="B112" s="145" t="str">
        <f t="shared" si="11"/>
        <v/>
      </c>
      <c r="C112" s="496">
        <f>IF(D94="","-",+C111+1)</f>
        <v>2032</v>
      </c>
      <c r="D112" s="350">
        <f>IF(F111+SUM(E$100:E111)=D$93,F111,D$93-SUM(E$100:E111))</f>
        <v>1576131.7725062645</v>
      </c>
      <c r="E112" s="510">
        <f t="shared" si="18"/>
        <v>195871.27263157896</v>
      </c>
      <c r="F112" s="511">
        <f t="shared" si="19"/>
        <v>1380260.4998746854</v>
      </c>
      <c r="G112" s="511">
        <f t="shared" si="20"/>
        <v>1478196.136190475</v>
      </c>
      <c r="H112" s="645">
        <f t="shared" si="21"/>
        <v>357932.06462351966</v>
      </c>
      <c r="I112" s="628">
        <f t="shared" si="22"/>
        <v>357932.06462351966</v>
      </c>
      <c r="J112" s="505">
        <f t="shared" si="12"/>
        <v>0</v>
      </c>
      <c r="K112" s="505"/>
      <c r="L112" s="513"/>
      <c r="M112" s="505">
        <f t="shared" si="13"/>
        <v>0</v>
      </c>
      <c r="N112" s="513"/>
      <c r="O112" s="505">
        <f t="shared" si="14"/>
        <v>0</v>
      </c>
      <c r="P112" s="505">
        <f t="shared" si="15"/>
        <v>0</v>
      </c>
    </row>
    <row r="113" spans="2:16" ht="12.5">
      <c r="B113" s="145" t="str">
        <f t="shared" si="11"/>
        <v/>
      </c>
      <c r="C113" s="496">
        <f>IF(D94="","-",+C112+1)</f>
        <v>2033</v>
      </c>
      <c r="D113" s="350">
        <f>IF(F112+SUM(E$100:E112)=D$93,F112,D$93-SUM(E$100:E112))</f>
        <v>1380260.4998746854</v>
      </c>
      <c r="E113" s="510">
        <f t="shared" si="18"/>
        <v>195871.27263157896</v>
      </c>
      <c r="F113" s="511">
        <f t="shared" si="19"/>
        <v>1184389.2272431063</v>
      </c>
      <c r="G113" s="511">
        <f t="shared" si="20"/>
        <v>1282324.8635588959</v>
      </c>
      <c r="H113" s="645">
        <f t="shared" si="21"/>
        <v>336457.88214260107</v>
      </c>
      <c r="I113" s="628">
        <f t="shared" si="22"/>
        <v>336457.88214260107</v>
      </c>
      <c r="J113" s="505">
        <f t="shared" si="12"/>
        <v>0</v>
      </c>
      <c r="K113" s="505"/>
      <c r="L113" s="513"/>
      <c r="M113" s="505">
        <f t="shared" si="13"/>
        <v>0</v>
      </c>
      <c r="N113" s="513"/>
      <c r="O113" s="505">
        <f t="shared" si="14"/>
        <v>0</v>
      </c>
      <c r="P113" s="505">
        <f t="shared" si="15"/>
        <v>0</v>
      </c>
    </row>
    <row r="114" spans="2:16" ht="12.5">
      <c r="B114" s="145" t="str">
        <f t="shared" si="11"/>
        <v/>
      </c>
      <c r="C114" s="496">
        <f>IF(D94="","-",+C113+1)</f>
        <v>2034</v>
      </c>
      <c r="D114" s="350">
        <f>IF(F113+SUM(E$100:E113)=D$93,F113,D$93-SUM(E$100:E113))</f>
        <v>1184389.2272431063</v>
      </c>
      <c r="E114" s="510">
        <f t="shared" si="18"/>
        <v>195871.27263157896</v>
      </c>
      <c r="F114" s="511">
        <f t="shared" si="19"/>
        <v>988517.95461152738</v>
      </c>
      <c r="G114" s="511">
        <f t="shared" si="20"/>
        <v>1086453.5909273168</v>
      </c>
      <c r="H114" s="645">
        <f t="shared" si="21"/>
        <v>314983.69966168248</v>
      </c>
      <c r="I114" s="628">
        <f t="shared" si="22"/>
        <v>314983.69966168248</v>
      </c>
      <c r="J114" s="505">
        <f t="shared" si="12"/>
        <v>0</v>
      </c>
      <c r="K114" s="505"/>
      <c r="L114" s="513"/>
      <c r="M114" s="505">
        <f t="shared" si="13"/>
        <v>0</v>
      </c>
      <c r="N114" s="513"/>
      <c r="O114" s="505">
        <f t="shared" si="14"/>
        <v>0</v>
      </c>
      <c r="P114" s="505">
        <f t="shared" si="15"/>
        <v>0</v>
      </c>
    </row>
    <row r="115" spans="2:16" ht="12.5">
      <c r="B115" s="145" t="str">
        <f t="shared" si="11"/>
        <v/>
      </c>
      <c r="C115" s="496">
        <f>IF(D94="","-",+C114+1)</f>
        <v>2035</v>
      </c>
      <c r="D115" s="350">
        <f>IF(F114+SUM(E$100:E114)=D$93,F114,D$93-SUM(E$100:E114))</f>
        <v>988517.95461152738</v>
      </c>
      <c r="E115" s="510">
        <f t="shared" si="18"/>
        <v>195871.27263157896</v>
      </c>
      <c r="F115" s="511">
        <f t="shared" si="19"/>
        <v>792646.68197994842</v>
      </c>
      <c r="G115" s="511">
        <f t="shared" si="20"/>
        <v>890582.31829573796</v>
      </c>
      <c r="H115" s="645">
        <f t="shared" si="21"/>
        <v>293509.51718076394</v>
      </c>
      <c r="I115" s="628">
        <f t="shared" si="22"/>
        <v>293509.51718076394</v>
      </c>
      <c r="J115" s="505">
        <f t="shared" si="12"/>
        <v>0</v>
      </c>
      <c r="K115" s="505"/>
      <c r="L115" s="513"/>
      <c r="M115" s="505">
        <f t="shared" si="13"/>
        <v>0</v>
      </c>
      <c r="N115" s="513"/>
      <c r="O115" s="505">
        <f t="shared" si="14"/>
        <v>0</v>
      </c>
      <c r="P115" s="505">
        <f t="shared" si="15"/>
        <v>0</v>
      </c>
    </row>
    <row r="116" spans="2:16" ht="12.5">
      <c r="B116" s="145" t="str">
        <f t="shared" si="11"/>
        <v/>
      </c>
      <c r="C116" s="496">
        <f>IF(D94="","-",+C115+1)</f>
        <v>2036</v>
      </c>
      <c r="D116" s="350">
        <f>IF(F115+SUM(E$100:E115)=D$93,F115,D$93-SUM(E$100:E115))</f>
        <v>792646.68197994842</v>
      </c>
      <c r="E116" s="510">
        <f t="shared" si="18"/>
        <v>195871.27263157896</v>
      </c>
      <c r="F116" s="511">
        <f t="shared" si="19"/>
        <v>596775.40934836946</v>
      </c>
      <c r="G116" s="511">
        <f t="shared" si="20"/>
        <v>694711.04566415888</v>
      </c>
      <c r="H116" s="645">
        <f t="shared" si="21"/>
        <v>272035.33469984535</v>
      </c>
      <c r="I116" s="628">
        <f t="shared" si="22"/>
        <v>272035.33469984535</v>
      </c>
      <c r="J116" s="505">
        <f t="shared" si="12"/>
        <v>0</v>
      </c>
      <c r="K116" s="505"/>
      <c r="L116" s="513"/>
      <c r="M116" s="505">
        <f t="shared" si="13"/>
        <v>0</v>
      </c>
      <c r="N116" s="513"/>
      <c r="O116" s="505">
        <f t="shared" si="14"/>
        <v>0</v>
      </c>
      <c r="P116" s="505">
        <f t="shared" si="15"/>
        <v>0</v>
      </c>
    </row>
    <row r="117" spans="2:16" ht="12.5">
      <c r="B117" s="145" t="str">
        <f t="shared" si="11"/>
        <v/>
      </c>
      <c r="C117" s="496">
        <f>IF(D94="","-",+C116+1)</f>
        <v>2037</v>
      </c>
      <c r="D117" s="350">
        <f>IF(F116+SUM(E$100:E116)=D$93,F116,D$93-SUM(E$100:E116))</f>
        <v>596775.40934836946</v>
      </c>
      <c r="E117" s="510">
        <f t="shared" si="18"/>
        <v>195871.27263157896</v>
      </c>
      <c r="F117" s="511">
        <f t="shared" si="19"/>
        <v>400904.1367167905</v>
      </c>
      <c r="G117" s="511">
        <f t="shared" si="20"/>
        <v>498839.77303257998</v>
      </c>
      <c r="H117" s="645">
        <f t="shared" si="21"/>
        <v>250561.15221892676</v>
      </c>
      <c r="I117" s="628">
        <f t="shared" si="22"/>
        <v>250561.15221892676</v>
      </c>
      <c r="J117" s="505">
        <f t="shared" si="12"/>
        <v>0</v>
      </c>
      <c r="K117" s="505"/>
      <c r="L117" s="513"/>
      <c r="M117" s="505">
        <f t="shared" si="13"/>
        <v>0</v>
      </c>
      <c r="N117" s="513"/>
      <c r="O117" s="505">
        <f t="shared" si="14"/>
        <v>0</v>
      </c>
      <c r="P117" s="505">
        <f t="shared" si="15"/>
        <v>0</v>
      </c>
    </row>
    <row r="118" spans="2:16" ht="12.5">
      <c r="B118" s="145" t="str">
        <f t="shared" si="11"/>
        <v/>
      </c>
      <c r="C118" s="496">
        <f>IF(D94="","-",+C117+1)</f>
        <v>2038</v>
      </c>
      <c r="D118" s="350">
        <f>IF(F117+SUM(E$100:E117)=D$93,F117,D$93-SUM(E$100:E117))</f>
        <v>400904.1367167905</v>
      </c>
      <c r="E118" s="510">
        <f t="shared" si="18"/>
        <v>195871.27263157896</v>
      </c>
      <c r="F118" s="511">
        <f t="shared" si="19"/>
        <v>205032.86408521153</v>
      </c>
      <c r="G118" s="511">
        <f t="shared" si="20"/>
        <v>302968.50040100102</v>
      </c>
      <c r="H118" s="645">
        <f t="shared" si="21"/>
        <v>229086.96973800819</v>
      </c>
      <c r="I118" s="628">
        <f t="shared" si="22"/>
        <v>229086.96973800819</v>
      </c>
      <c r="J118" s="505">
        <f t="shared" si="12"/>
        <v>0</v>
      </c>
      <c r="K118" s="505"/>
      <c r="L118" s="513"/>
      <c r="M118" s="505">
        <f t="shared" si="13"/>
        <v>0</v>
      </c>
      <c r="N118" s="513"/>
      <c r="O118" s="505">
        <f t="shared" si="14"/>
        <v>0</v>
      </c>
      <c r="P118" s="505">
        <f t="shared" si="15"/>
        <v>0</v>
      </c>
    </row>
    <row r="119" spans="2:16" ht="12.5">
      <c r="B119" s="145" t="str">
        <f t="shared" si="11"/>
        <v/>
      </c>
      <c r="C119" s="496">
        <f>IF(D94="","-",+C118+1)</f>
        <v>2039</v>
      </c>
      <c r="D119" s="350">
        <f>IF(F118+SUM(E$100:E118)=D$93,F118,D$93-SUM(E$100:E118))</f>
        <v>205032.86408521153</v>
      </c>
      <c r="E119" s="510">
        <f t="shared" si="18"/>
        <v>195871.27263157896</v>
      </c>
      <c r="F119" s="511">
        <f t="shared" si="19"/>
        <v>9161.5914536325727</v>
      </c>
      <c r="G119" s="511">
        <f t="shared" si="20"/>
        <v>107097.22776942205</v>
      </c>
      <c r="H119" s="645">
        <f t="shared" si="21"/>
        <v>207612.78725708963</v>
      </c>
      <c r="I119" s="628">
        <f t="shared" si="22"/>
        <v>207612.78725708963</v>
      </c>
      <c r="J119" s="505">
        <f t="shared" si="12"/>
        <v>0</v>
      </c>
      <c r="K119" s="505"/>
      <c r="L119" s="513"/>
      <c r="M119" s="505">
        <f t="shared" si="13"/>
        <v>0</v>
      </c>
      <c r="N119" s="513"/>
      <c r="O119" s="505">
        <f t="shared" si="14"/>
        <v>0</v>
      </c>
      <c r="P119" s="505">
        <f t="shared" si="15"/>
        <v>0</v>
      </c>
    </row>
    <row r="120" spans="2:16" ht="12.5">
      <c r="B120" s="145" t="str">
        <f t="shared" si="11"/>
        <v/>
      </c>
      <c r="C120" s="496">
        <f>IF(D94="","-",+C119+1)</f>
        <v>2040</v>
      </c>
      <c r="D120" s="350">
        <f>IF(F119+SUM(E$100:E119)=D$93,F119,D$93-SUM(E$100:E119))</f>
        <v>9161.5914536325727</v>
      </c>
      <c r="E120" s="510">
        <f t="shared" si="18"/>
        <v>9161.5914536325727</v>
      </c>
      <c r="F120" s="511">
        <f t="shared" si="19"/>
        <v>0</v>
      </c>
      <c r="G120" s="511">
        <f t="shared" si="20"/>
        <v>4580.7957268162863</v>
      </c>
      <c r="H120" s="645">
        <f t="shared" si="21"/>
        <v>9663.8031461582559</v>
      </c>
      <c r="I120" s="628">
        <f t="shared" si="22"/>
        <v>9663.8031461582559</v>
      </c>
      <c r="J120" s="505">
        <f t="shared" si="12"/>
        <v>0</v>
      </c>
      <c r="K120" s="505"/>
      <c r="L120" s="513"/>
      <c r="M120" s="505">
        <f t="shared" si="13"/>
        <v>0</v>
      </c>
      <c r="N120" s="513"/>
      <c r="O120" s="505">
        <f t="shared" si="14"/>
        <v>0</v>
      </c>
      <c r="P120" s="505">
        <f t="shared" si="15"/>
        <v>0</v>
      </c>
    </row>
    <row r="121" spans="2:16" ht="12.5">
      <c r="B121" s="145" t="str">
        <f t="shared" si="11"/>
        <v/>
      </c>
      <c r="C121" s="496">
        <f>IF(D94="","-",+C120+1)</f>
        <v>2041</v>
      </c>
      <c r="D121" s="350">
        <f>IF(F120+SUM(E$100:E120)=D$93,F120,D$93-SUM(E$100:E120))</f>
        <v>0</v>
      </c>
      <c r="E121" s="510">
        <f t="shared" si="18"/>
        <v>0</v>
      </c>
      <c r="F121" s="511">
        <f t="shared" si="19"/>
        <v>0</v>
      </c>
      <c r="G121" s="511">
        <f t="shared" si="20"/>
        <v>0</v>
      </c>
      <c r="H121" s="645">
        <f t="shared" si="21"/>
        <v>0</v>
      </c>
      <c r="I121" s="628">
        <f t="shared" si="22"/>
        <v>0</v>
      </c>
      <c r="J121" s="505">
        <f t="shared" si="12"/>
        <v>0</v>
      </c>
      <c r="K121" s="505"/>
      <c r="L121" s="513"/>
      <c r="M121" s="505">
        <f t="shared" si="13"/>
        <v>0</v>
      </c>
      <c r="N121" s="513"/>
      <c r="O121" s="505">
        <f t="shared" si="14"/>
        <v>0</v>
      </c>
      <c r="P121" s="505">
        <f t="shared" si="15"/>
        <v>0</v>
      </c>
    </row>
    <row r="122" spans="2:16" ht="12.5">
      <c r="B122" s="145" t="str">
        <f t="shared" si="11"/>
        <v/>
      </c>
      <c r="C122" s="496">
        <f>IF(D94="","-",+C121+1)</f>
        <v>2042</v>
      </c>
      <c r="D122" s="350">
        <f>IF(F121+SUM(E$100:E121)=D$93,F121,D$93-SUM(E$100:E121))</f>
        <v>0</v>
      </c>
      <c r="E122" s="510">
        <f t="shared" si="18"/>
        <v>0</v>
      </c>
      <c r="F122" s="511">
        <f t="shared" si="19"/>
        <v>0</v>
      </c>
      <c r="G122" s="511">
        <f t="shared" si="20"/>
        <v>0</v>
      </c>
      <c r="H122" s="645">
        <f t="shared" si="21"/>
        <v>0</v>
      </c>
      <c r="I122" s="628">
        <f t="shared" si="22"/>
        <v>0</v>
      </c>
      <c r="J122" s="505">
        <f t="shared" si="12"/>
        <v>0</v>
      </c>
      <c r="K122" s="505"/>
      <c r="L122" s="513"/>
      <c r="M122" s="505">
        <f t="shared" si="13"/>
        <v>0</v>
      </c>
      <c r="N122" s="513"/>
      <c r="O122" s="505">
        <f t="shared" si="14"/>
        <v>0</v>
      </c>
      <c r="P122" s="505">
        <f t="shared" si="15"/>
        <v>0</v>
      </c>
    </row>
    <row r="123" spans="2:16" ht="12.5">
      <c r="B123" s="145" t="str">
        <f t="shared" si="11"/>
        <v/>
      </c>
      <c r="C123" s="496">
        <f>IF(D94="","-",+C122+1)</f>
        <v>2043</v>
      </c>
      <c r="D123" s="350">
        <f>IF(F122+SUM(E$100:E122)=D$93,F122,D$93-SUM(E$100:E122))</f>
        <v>0</v>
      </c>
      <c r="E123" s="510">
        <f t="shared" si="18"/>
        <v>0</v>
      </c>
      <c r="F123" s="511">
        <f t="shared" si="19"/>
        <v>0</v>
      </c>
      <c r="G123" s="511">
        <f t="shared" si="20"/>
        <v>0</v>
      </c>
      <c r="H123" s="645">
        <f t="shared" si="21"/>
        <v>0</v>
      </c>
      <c r="I123" s="628">
        <f t="shared" si="22"/>
        <v>0</v>
      </c>
      <c r="J123" s="505">
        <f t="shared" si="12"/>
        <v>0</v>
      </c>
      <c r="K123" s="505"/>
      <c r="L123" s="513"/>
      <c r="M123" s="505">
        <f t="shared" si="13"/>
        <v>0</v>
      </c>
      <c r="N123" s="513"/>
      <c r="O123" s="505">
        <f t="shared" si="14"/>
        <v>0</v>
      </c>
      <c r="P123" s="505">
        <f t="shared" si="15"/>
        <v>0</v>
      </c>
    </row>
    <row r="124" spans="2:16" ht="12.5">
      <c r="B124" s="145" t="str">
        <f t="shared" si="11"/>
        <v/>
      </c>
      <c r="C124" s="496">
        <f>IF(D94="","-",+C123+1)</f>
        <v>2044</v>
      </c>
      <c r="D124" s="350">
        <f>IF(F123+SUM(E$100:E123)=D$93,F123,D$93-SUM(E$100:E123))</f>
        <v>0</v>
      </c>
      <c r="E124" s="510">
        <f t="shared" si="18"/>
        <v>0</v>
      </c>
      <c r="F124" s="511">
        <f t="shared" si="19"/>
        <v>0</v>
      </c>
      <c r="G124" s="511">
        <f t="shared" si="20"/>
        <v>0</v>
      </c>
      <c r="H124" s="645">
        <f t="shared" si="21"/>
        <v>0</v>
      </c>
      <c r="I124" s="628">
        <f t="shared" si="22"/>
        <v>0</v>
      </c>
      <c r="J124" s="505">
        <f t="shared" si="12"/>
        <v>0</v>
      </c>
      <c r="K124" s="505"/>
      <c r="L124" s="513"/>
      <c r="M124" s="505">
        <f t="shared" si="13"/>
        <v>0</v>
      </c>
      <c r="N124" s="513"/>
      <c r="O124" s="505">
        <f t="shared" si="14"/>
        <v>0</v>
      </c>
      <c r="P124" s="505">
        <f t="shared" si="15"/>
        <v>0</v>
      </c>
    </row>
    <row r="125" spans="2:16" ht="12.5">
      <c r="B125" s="145" t="str">
        <f t="shared" si="11"/>
        <v/>
      </c>
      <c r="C125" s="496">
        <f>IF(D94="","-",+C124+1)</f>
        <v>2045</v>
      </c>
      <c r="D125" s="350">
        <f>IF(F124+SUM(E$100:E124)=D$93,F124,D$93-SUM(E$100:E124))</f>
        <v>0</v>
      </c>
      <c r="E125" s="510">
        <f t="shared" si="18"/>
        <v>0</v>
      </c>
      <c r="F125" s="511">
        <f t="shared" si="19"/>
        <v>0</v>
      </c>
      <c r="G125" s="511">
        <f t="shared" si="20"/>
        <v>0</v>
      </c>
      <c r="H125" s="645">
        <f t="shared" si="21"/>
        <v>0</v>
      </c>
      <c r="I125" s="628">
        <f t="shared" si="22"/>
        <v>0</v>
      </c>
      <c r="J125" s="505">
        <f t="shared" si="12"/>
        <v>0</v>
      </c>
      <c r="K125" s="505"/>
      <c r="L125" s="513"/>
      <c r="M125" s="505">
        <f t="shared" si="13"/>
        <v>0</v>
      </c>
      <c r="N125" s="513"/>
      <c r="O125" s="505">
        <f t="shared" si="14"/>
        <v>0</v>
      </c>
      <c r="P125" s="505">
        <f t="shared" si="15"/>
        <v>0</v>
      </c>
    </row>
    <row r="126" spans="2:16" ht="12.5">
      <c r="B126" s="145" t="str">
        <f t="shared" si="11"/>
        <v/>
      </c>
      <c r="C126" s="496">
        <f>IF(D94="","-",+C125+1)</f>
        <v>2046</v>
      </c>
      <c r="D126" s="350">
        <f>IF(F125+SUM(E$100:E125)=D$93,F125,D$93-SUM(E$100:E125))</f>
        <v>0</v>
      </c>
      <c r="E126" s="510">
        <f t="shared" si="18"/>
        <v>0</v>
      </c>
      <c r="F126" s="511">
        <f t="shared" si="19"/>
        <v>0</v>
      </c>
      <c r="G126" s="511">
        <f t="shared" si="20"/>
        <v>0</v>
      </c>
      <c r="H126" s="645">
        <f t="shared" si="21"/>
        <v>0</v>
      </c>
      <c r="I126" s="628">
        <f t="shared" si="22"/>
        <v>0</v>
      </c>
      <c r="J126" s="505">
        <f t="shared" si="12"/>
        <v>0</v>
      </c>
      <c r="K126" s="505"/>
      <c r="L126" s="513"/>
      <c r="M126" s="505">
        <f t="shared" si="13"/>
        <v>0</v>
      </c>
      <c r="N126" s="513"/>
      <c r="O126" s="505">
        <f t="shared" si="14"/>
        <v>0</v>
      </c>
      <c r="P126" s="505">
        <f t="shared" si="15"/>
        <v>0</v>
      </c>
    </row>
    <row r="127" spans="2:16" ht="12.5">
      <c r="B127" s="145" t="str">
        <f t="shared" si="11"/>
        <v/>
      </c>
      <c r="C127" s="496">
        <f>IF(D94="","-",+C126+1)</f>
        <v>2047</v>
      </c>
      <c r="D127" s="350">
        <f>IF(F126+SUM(E$100:E126)=D$93,F126,D$93-SUM(E$100:E126))</f>
        <v>0</v>
      </c>
      <c r="E127" s="510">
        <f t="shared" si="18"/>
        <v>0</v>
      </c>
      <c r="F127" s="511">
        <f t="shared" si="19"/>
        <v>0</v>
      </c>
      <c r="G127" s="511">
        <f t="shared" si="20"/>
        <v>0</v>
      </c>
      <c r="H127" s="645">
        <f t="shared" si="21"/>
        <v>0</v>
      </c>
      <c r="I127" s="628">
        <f t="shared" si="22"/>
        <v>0</v>
      </c>
      <c r="J127" s="505">
        <f t="shared" si="12"/>
        <v>0</v>
      </c>
      <c r="K127" s="505"/>
      <c r="L127" s="513"/>
      <c r="M127" s="505">
        <f t="shared" si="13"/>
        <v>0</v>
      </c>
      <c r="N127" s="513"/>
      <c r="O127" s="505">
        <f t="shared" si="14"/>
        <v>0</v>
      </c>
      <c r="P127" s="505">
        <f t="shared" si="15"/>
        <v>0</v>
      </c>
    </row>
    <row r="128" spans="2:16" ht="12.5">
      <c r="B128" s="145" t="str">
        <f t="shared" si="11"/>
        <v/>
      </c>
      <c r="C128" s="496">
        <f>IF(D94="","-",+C127+1)</f>
        <v>2048</v>
      </c>
      <c r="D128" s="350">
        <f>IF(F127+SUM(E$100:E127)=D$93,F127,D$93-SUM(E$100:E127))</f>
        <v>0</v>
      </c>
      <c r="E128" s="510">
        <f t="shared" si="18"/>
        <v>0</v>
      </c>
      <c r="F128" s="511">
        <f t="shared" si="19"/>
        <v>0</v>
      </c>
      <c r="G128" s="511">
        <f t="shared" si="20"/>
        <v>0</v>
      </c>
      <c r="H128" s="645">
        <f t="shared" si="21"/>
        <v>0</v>
      </c>
      <c r="I128" s="628">
        <f t="shared" si="22"/>
        <v>0</v>
      </c>
      <c r="J128" s="505">
        <f t="shared" si="12"/>
        <v>0</v>
      </c>
      <c r="K128" s="505"/>
      <c r="L128" s="513"/>
      <c r="M128" s="505">
        <f t="shared" si="13"/>
        <v>0</v>
      </c>
      <c r="N128" s="513"/>
      <c r="O128" s="505">
        <f t="shared" si="14"/>
        <v>0</v>
      </c>
      <c r="P128" s="505">
        <f t="shared" si="15"/>
        <v>0</v>
      </c>
    </row>
    <row r="129" spans="2:16" ht="12.5">
      <c r="B129" s="145" t="str">
        <f t="shared" si="11"/>
        <v/>
      </c>
      <c r="C129" s="496">
        <f>IF(D94="","-",+C128+1)</f>
        <v>2049</v>
      </c>
      <c r="D129" s="350">
        <f>IF(F128+SUM(E$100:E128)=D$93,F128,D$93-SUM(E$100:E128))</f>
        <v>0</v>
      </c>
      <c r="E129" s="510">
        <f t="shared" si="18"/>
        <v>0</v>
      </c>
      <c r="F129" s="511">
        <f t="shared" si="19"/>
        <v>0</v>
      </c>
      <c r="G129" s="511">
        <f t="shared" si="20"/>
        <v>0</v>
      </c>
      <c r="H129" s="645">
        <f t="shared" si="21"/>
        <v>0</v>
      </c>
      <c r="I129" s="628">
        <f t="shared" si="22"/>
        <v>0</v>
      </c>
      <c r="J129" s="505">
        <f t="shared" si="12"/>
        <v>0</v>
      </c>
      <c r="K129" s="505"/>
      <c r="L129" s="513"/>
      <c r="M129" s="505">
        <f t="shared" si="13"/>
        <v>0</v>
      </c>
      <c r="N129" s="513"/>
      <c r="O129" s="505">
        <f t="shared" si="14"/>
        <v>0</v>
      </c>
      <c r="P129" s="505">
        <f t="shared" si="15"/>
        <v>0</v>
      </c>
    </row>
    <row r="130" spans="2:16" ht="12.5">
      <c r="B130" s="145" t="str">
        <f t="shared" si="11"/>
        <v/>
      </c>
      <c r="C130" s="496">
        <f>IF(D94="","-",+C129+1)</f>
        <v>2050</v>
      </c>
      <c r="D130" s="350">
        <f>IF(F129+SUM(E$100:E129)=D$93,F129,D$93-SUM(E$100:E129))</f>
        <v>0</v>
      </c>
      <c r="E130" s="510">
        <f t="shared" si="18"/>
        <v>0</v>
      </c>
      <c r="F130" s="511">
        <f t="shared" si="19"/>
        <v>0</v>
      </c>
      <c r="G130" s="511">
        <f t="shared" si="20"/>
        <v>0</v>
      </c>
      <c r="H130" s="645">
        <f t="shared" si="21"/>
        <v>0</v>
      </c>
      <c r="I130" s="628">
        <f t="shared" si="22"/>
        <v>0</v>
      </c>
      <c r="J130" s="505">
        <f t="shared" si="12"/>
        <v>0</v>
      </c>
      <c r="K130" s="505"/>
      <c r="L130" s="513"/>
      <c r="M130" s="505">
        <f t="shared" si="13"/>
        <v>0</v>
      </c>
      <c r="N130" s="513"/>
      <c r="O130" s="505">
        <f t="shared" si="14"/>
        <v>0</v>
      </c>
      <c r="P130" s="505">
        <f t="shared" si="15"/>
        <v>0</v>
      </c>
    </row>
    <row r="131" spans="2:16" ht="12.5">
      <c r="B131" s="145" t="str">
        <f t="shared" si="11"/>
        <v/>
      </c>
      <c r="C131" s="496">
        <f>IF(D94="","-",+C130+1)</f>
        <v>2051</v>
      </c>
      <c r="D131" s="350">
        <f>IF(F130+SUM(E$100:E130)=D$93,F130,D$93-SUM(E$100:E130))</f>
        <v>0</v>
      </c>
      <c r="E131" s="510">
        <f t="shared" si="18"/>
        <v>0</v>
      </c>
      <c r="F131" s="511">
        <f t="shared" si="19"/>
        <v>0</v>
      </c>
      <c r="G131" s="511">
        <f t="shared" si="20"/>
        <v>0</v>
      </c>
      <c r="H131" s="645">
        <f t="shared" si="21"/>
        <v>0</v>
      </c>
      <c r="I131" s="628">
        <f t="shared" si="22"/>
        <v>0</v>
      </c>
      <c r="J131" s="505">
        <f t="shared" si="12"/>
        <v>0</v>
      </c>
      <c r="K131" s="505"/>
      <c r="L131" s="513"/>
      <c r="M131" s="505">
        <f t="shared" si="13"/>
        <v>0</v>
      </c>
      <c r="N131" s="513"/>
      <c r="O131" s="505">
        <f t="shared" si="14"/>
        <v>0</v>
      </c>
      <c r="P131" s="505">
        <f t="shared" si="15"/>
        <v>0</v>
      </c>
    </row>
    <row r="132" spans="2:16" ht="12.5">
      <c r="B132" s="145" t="str">
        <f t="shared" si="11"/>
        <v/>
      </c>
      <c r="C132" s="496">
        <f>IF(D94="","-",+C131+1)</f>
        <v>2052</v>
      </c>
      <c r="D132" s="350">
        <f>IF(F131+SUM(E$100:E131)=D$93,F131,D$93-SUM(E$100:E131))</f>
        <v>0</v>
      </c>
      <c r="E132" s="510">
        <f t="shared" si="18"/>
        <v>0</v>
      </c>
      <c r="F132" s="511">
        <f t="shared" si="19"/>
        <v>0</v>
      </c>
      <c r="G132" s="511">
        <f t="shared" si="20"/>
        <v>0</v>
      </c>
      <c r="H132" s="645">
        <f t="shared" ref="H132:H155" si="23">(D132+F132)/2*J$95+E132</f>
        <v>0</v>
      </c>
      <c r="I132" s="628">
        <f t="shared" si="22"/>
        <v>0</v>
      </c>
      <c r="J132" s="505">
        <f t="shared" ref="J132:J155" si="24">+I542-H542</f>
        <v>0</v>
      </c>
      <c r="K132" s="505"/>
      <c r="L132" s="513"/>
      <c r="M132" s="505">
        <f t="shared" ref="M132:M155" si="25">IF(L542&lt;&gt;0,+H542-L542,0)</f>
        <v>0</v>
      </c>
      <c r="N132" s="513"/>
      <c r="O132" s="505">
        <f t="shared" ref="O132:O155" si="26">IF(N542&lt;&gt;0,+I542-N542,0)</f>
        <v>0</v>
      </c>
      <c r="P132" s="505">
        <f t="shared" ref="P132:P155" si="27">+O542-M542</f>
        <v>0</v>
      </c>
    </row>
    <row r="133" spans="2:16" ht="12.5">
      <c r="B133" s="145" t="str">
        <f t="shared" si="11"/>
        <v/>
      </c>
      <c r="C133" s="496">
        <f>IF(D94="","-",+C132+1)</f>
        <v>2053</v>
      </c>
      <c r="D133" s="350">
        <f>IF(F132+SUM(E$100:E132)=D$93,F132,D$93-SUM(E$100:E132))</f>
        <v>0</v>
      </c>
      <c r="E133" s="510">
        <f t="shared" si="18"/>
        <v>0</v>
      </c>
      <c r="F133" s="511">
        <f t="shared" si="19"/>
        <v>0</v>
      </c>
      <c r="G133" s="511">
        <f t="shared" si="20"/>
        <v>0</v>
      </c>
      <c r="H133" s="645">
        <f t="shared" si="23"/>
        <v>0</v>
      </c>
      <c r="I133" s="628">
        <f t="shared" si="22"/>
        <v>0</v>
      </c>
      <c r="J133" s="505">
        <f t="shared" si="24"/>
        <v>0</v>
      </c>
      <c r="K133" s="505"/>
      <c r="L133" s="513"/>
      <c r="M133" s="505">
        <f t="shared" si="25"/>
        <v>0</v>
      </c>
      <c r="N133" s="513"/>
      <c r="O133" s="505">
        <f t="shared" si="26"/>
        <v>0</v>
      </c>
      <c r="P133" s="505">
        <f t="shared" si="27"/>
        <v>0</v>
      </c>
    </row>
    <row r="134" spans="2:16" ht="12.5">
      <c r="B134" s="145" t="str">
        <f t="shared" si="11"/>
        <v/>
      </c>
      <c r="C134" s="496">
        <f>IF(D94="","-",+C133+1)</f>
        <v>2054</v>
      </c>
      <c r="D134" s="350">
        <f>IF(F133+SUM(E$100:E133)=D$93,F133,D$93-SUM(E$100:E133))</f>
        <v>0</v>
      </c>
      <c r="E134" s="510">
        <f t="shared" si="18"/>
        <v>0</v>
      </c>
      <c r="F134" s="511">
        <f t="shared" si="19"/>
        <v>0</v>
      </c>
      <c r="G134" s="511">
        <f t="shared" si="20"/>
        <v>0</v>
      </c>
      <c r="H134" s="645">
        <f t="shared" si="23"/>
        <v>0</v>
      </c>
      <c r="I134" s="628">
        <f t="shared" si="22"/>
        <v>0</v>
      </c>
      <c r="J134" s="505">
        <f t="shared" si="24"/>
        <v>0</v>
      </c>
      <c r="K134" s="505"/>
      <c r="L134" s="513"/>
      <c r="M134" s="505">
        <f t="shared" si="25"/>
        <v>0</v>
      </c>
      <c r="N134" s="513"/>
      <c r="O134" s="505">
        <f t="shared" si="26"/>
        <v>0</v>
      </c>
      <c r="P134" s="505">
        <f t="shared" si="27"/>
        <v>0</v>
      </c>
    </row>
    <row r="135" spans="2:16" ht="12.5">
      <c r="B135" s="145" t="str">
        <f t="shared" si="11"/>
        <v/>
      </c>
      <c r="C135" s="496">
        <f>IF(D94="","-",+C134+1)</f>
        <v>2055</v>
      </c>
      <c r="D135" s="350">
        <f>IF(F134+SUM(E$100:E134)=D$93,F134,D$93-SUM(E$100:E134))</f>
        <v>0</v>
      </c>
      <c r="E135" s="510">
        <f t="shared" si="18"/>
        <v>0</v>
      </c>
      <c r="F135" s="511">
        <f t="shared" si="19"/>
        <v>0</v>
      </c>
      <c r="G135" s="511">
        <f t="shared" si="20"/>
        <v>0</v>
      </c>
      <c r="H135" s="645">
        <f t="shared" si="23"/>
        <v>0</v>
      </c>
      <c r="I135" s="628">
        <f t="shared" si="22"/>
        <v>0</v>
      </c>
      <c r="J135" s="505">
        <f t="shared" si="24"/>
        <v>0</v>
      </c>
      <c r="K135" s="505"/>
      <c r="L135" s="513"/>
      <c r="M135" s="505">
        <f t="shared" si="25"/>
        <v>0</v>
      </c>
      <c r="N135" s="513"/>
      <c r="O135" s="505">
        <f t="shared" si="26"/>
        <v>0</v>
      </c>
      <c r="P135" s="505">
        <f t="shared" si="27"/>
        <v>0</v>
      </c>
    </row>
    <row r="136" spans="2:16" ht="12.5">
      <c r="B136" s="145" t="str">
        <f t="shared" si="11"/>
        <v/>
      </c>
      <c r="C136" s="496">
        <f>IF(D94="","-",+C135+1)</f>
        <v>2056</v>
      </c>
      <c r="D136" s="350">
        <f>IF(F135+SUM(E$100:E135)=D$93,F135,D$93-SUM(E$100:E135))</f>
        <v>0</v>
      </c>
      <c r="E136" s="510">
        <f t="shared" si="18"/>
        <v>0</v>
      </c>
      <c r="F136" s="511">
        <f t="shared" si="19"/>
        <v>0</v>
      </c>
      <c r="G136" s="511">
        <f t="shared" si="20"/>
        <v>0</v>
      </c>
      <c r="H136" s="645">
        <f t="shared" si="23"/>
        <v>0</v>
      </c>
      <c r="I136" s="628">
        <f t="shared" si="22"/>
        <v>0</v>
      </c>
      <c r="J136" s="505">
        <f t="shared" si="24"/>
        <v>0</v>
      </c>
      <c r="K136" s="505"/>
      <c r="L136" s="513"/>
      <c r="M136" s="505">
        <f t="shared" si="25"/>
        <v>0</v>
      </c>
      <c r="N136" s="513"/>
      <c r="O136" s="505">
        <f t="shared" si="26"/>
        <v>0</v>
      </c>
      <c r="P136" s="505">
        <f t="shared" si="27"/>
        <v>0</v>
      </c>
    </row>
    <row r="137" spans="2:16" ht="12.5">
      <c r="B137" s="145" t="str">
        <f t="shared" si="11"/>
        <v/>
      </c>
      <c r="C137" s="496">
        <f>IF(D94="","-",+C136+1)</f>
        <v>2057</v>
      </c>
      <c r="D137" s="350">
        <f>IF(F136+SUM(E$100:E136)=D$93,F136,D$93-SUM(E$100:E136))</f>
        <v>0</v>
      </c>
      <c r="E137" s="510">
        <f t="shared" si="18"/>
        <v>0</v>
      </c>
      <c r="F137" s="511">
        <f t="shared" si="19"/>
        <v>0</v>
      </c>
      <c r="G137" s="511">
        <f t="shared" si="20"/>
        <v>0</v>
      </c>
      <c r="H137" s="645">
        <f t="shared" si="23"/>
        <v>0</v>
      </c>
      <c r="I137" s="628">
        <f t="shared" si="22"/>
        <v>0</v>
      </c>
      <c r="J137" s="505">
        <f t="shared" si="24"/>
        <v>0</v>
      </c>
      <c r="K137" s="505"/>
      <c r="L137" s="513"/>
      <c r="M137" s="505">
        <f t="shared" si="25"/>
        <v>0</v>
      </c>
      <c r="N137" s="513"/>
      <c r="O137" s="505">
        <f t="shared" si="26"/>
        <v>0</v>
      </c>
      <c r="P137" s="505">
        <f t="shared" si="27"/>
        <v>0</v>
      </c>
    </row>
    <row r="138" spans="2:16" ht="12.5">
      <c r="B138" s="145" t="str">
        <f t="shared" si="11"/>
        <v/>
      </c>
      <c r="C138" s="496">
        <f>IF(D94="","-",+C137+1)</f>
        <v>2058</v>
      </c>
      <c r="D138" s="350">
        <f>IF(F137+SUM(E$100:E137)=D$93,F137,D$93-SUM(E$100:E137))</f>
        <v>0</v>
      </c>
      <c r="E138" s="510">
        <f t="shared" si="18"/>
        <v>0</v>
      </c>
      <c r="F138" s="511">
        <f t="shared" si="19"/>
        <v>0</v>
      </c>
      <c r="G138" s="511">
        <f t="shared" si="20"/>
        <v>0</v>
      </c>
      <c r="H138" s="645">
        <f t="shared" si="23"/>
        <v>0</v>
      </c>
      <c r="I138" s="628">
        <f t="shared" si="22"/>
        <v>0</v>
      </c>
      <c r="J138" s="505">
        <f t="shared" si="24"/>
        <v>0</v>
      </c>
      <c r="K138" s="505"/>
      <c r="L138" s="513"/>
      <c r="M138" s="505">
        <f t="shared" si="25"/>
        <v>0</v>
      </c>
      <c r="N138" s="513"/>
      <c r="O138" s="505">
        <f t="shared" si="26"/>
        <v>0</v>
      </c>
      <c r="P138" s="505">
        <f t="shared" si="27"/>
        <v>0</v>
      </c>
    </row>
    <row r="139" spans="2:16" ht="12.5">
      <c r="B139" s="145" t="str">
        <f t="shared" si="11"/>
        <v/>
      </c>
      <c r="C139" s="496">
        <f>IF(D94="","-",+C138+1)</f>
        <v>2059</v>
      </c>
      <c r="D139" s="350">
        <f>IF(F138+SUM(E$100:E138)=D$93,F138,D$93-SUM(E$100:E138))</f>
        <v>0</v>
      </c>
      <c r="E139" s="510">
        <f t="shared" si="18"/>
        <v>0</v>
      </c>
      <c r="F139" s="511">
        <f t="shared" si="19"/>
        <v>0</v>
      </c>
      <c r="G139" s="511">
        <f t="shared" si="20"/>
        <v>0</v>
      </c>
      <c r="H139" s="645">
        <f t="shared" si="23"/>
        <v>0</v>
      </c>
      <c r="I139" s="628">
        <f t="shared" si="22"/>
        <v>0</v>
      </c>
      <c r="J139" s="505">
        <f t="shared" si="24"/>
        <v>0</v>
      </c>
      <c r="K139" s="505"/>
      <c r="L139" s="513"/>
      <c r="M139" s="505">
        <f t="shared" si="25"/>
        <v>0</v>
      </c>
      <c r="N139" s="513"/>
      <c r="O139" s="505">
        <f t="shared" si="26"/>
        <v>0</v>
      </c>
      <c r="P139" s="505">
        <f t="shared" si="27"/>
        <v>0</v>
      </c>
    </row>
    <row r="140" spans="2:16" ht="12.5">
      <c r="B140" s="145" t="str">
        <f t="shared" si="11"/>
        <v/>
      </c>
      <c r="C140" s="496">
        <f>IF(D94="","-",+C139+1)</f>
        <v>2060</v>
      </c>
      <c r="D140" s="350">
        <f>IF(F139+SUM(E$100:E139)=D$93,F139,D$93-SUM(E$100:E139))</f>
        <v>0</v>
      </c>
      <c r="E140" s="510">
        <f t="shared" si="18"/>
        <v>0</v>
      </c>
      <c r="F140" s="511">
        <f t="shared" si="19"/>
        <v>0</v>
      </c>
      <c r="G140" s="511">
        <f t="shared" si="20"/>
        <v>0</v>
      </c>
      <c r="H140" s="645">
        <f t="shared" si="23"/>
        <v>0</v>
      </c>
      <c r="I140" s="628">
        <f t="shared" si="22"/>
        <v>0</v>
      </c>
      <c r="J140" s="505">
        <f t="shared" si="24"/>
        <v>0</v>
      </c>
      <c r="K140" s="505"/>
      <c r="L140" s="513"/>
      <c r="M140" s="505">
        <f t="shared" si="25"/>
        <v>0</v>
      </c>
      <c r="N140" s="513"/>
      <c r="O140" s="505">
        <f t="shared" si="26"/>
        <v>0</v>
      </c>
      <c r="P140" s="505">
        <f t="shared" si="27"/>
        <v>0</v>
      </c>
    </row>
    <row r="141" spans="2:16" ht="12.5">
      <c r="B141" s="145" t="str">
        <f t="shared" si="11"/>
        <v/>
      </c>
      <c r="C141" s="496">
        <f>IF(D94="","-",+C140+1)</f>
        <v>2061</v>
      </c>
      <c r="D141" s="350">
        <f>IF(F140+SUM(E$100:E140)=D$93,F140,D$93-SUM(E$100:E140))</f>
        <v>0</v>
      </c>
      <c r="E141" s="510">
        <f t="shared" si="18"/>
        <v>0</v>
      </c>
      <c r="F141" s="511">
        <f t="shared" si="19"/>
        <v>0</v>
      </c>
      <c r="G141" s="511">
        <f t="shared" si="20"/>
        <v>0</v>
      </c>
      <c r="H141" s="645">
        <f t="shared" si="23"/>
        <v>0</v>
      </c>
      <c r="I141" s="628">
        <f t="shared" si="22"/>
        <v>0</v>
      </c>
      <c r="J141" s="505">
        <f t="shared" si="24"/>
        <v>0</v>
      </c>
      <c r="K141" s="505"/>
      <c r="L141" s="513"/>
      <c r="M141" s="505">
        <f t="shared" si="25"/>
        <v>0</v>
      </c>
      <c r="N141" s="513"/>
      <c r="O141" s="505">
        <f t="shared" si="26"/>
        <v>0</v>
      </c>
      <c r="P141" s="505">
        <f t="shared" si="27"/>
        <v>0</v>
      </c>
    </row>
    <row r="142" spans="2:16" ht="12.5">
      <c r="B142" s="145" t="str">
        <f t="shared" si="11"/>
        <v/>
      </c>
      <c r="C142" s="496">
        <f>IF(D94="","-",+C141+1)</f>
        <v>2062</v>
      </c>
      <c r="D142" s="350">
        <f>IF(F141+SUM(E$100:E141)=D$93,F141,D$93-SUM(E$100:E141))</f>
        <v>0</v>
      </c>
      <c r="E142" s="510">
        <f t="shared" si="18"/>
        <v>0</v>
      </c>
      <c r="F142" s="511">
        <f t="shared" si="19"/>
        <v>0</v>
      </c>
      <c r="G142" s="511">
        <f t="shared" si="20"/>
        <v>0</v>
      </c>
      <c r="H142" s="645">
        <f t="shared" si="23"/>
        <v>0</v>
      </c>
      <c r="I142" s="628">
        <f t="shared" si="22"/>
        <v>0</v>
      </c>
      <c r="J142" s="505">
        <f t="shared" si="24"/>
        <v>0</v>
      </c>
      <c r="K142" s="505"/>
      <c r="L142" s="513"/>
      <c r="M142" s="505">
        <f t="shared" si="25"/>
        <v>0</v>
      </c>
      <c r="N142" s="513"/>
      <c r="O142" s="505">
        <f t="shared" si="26"/>
        <v>0</v>
      </c>
      <c r="P142" s="505">
        <f t="shared" si="27"/>
        <v>0</v>
      </c>
    </row>
    <row r="143" spans="2:16" ht="12.5">
      <c r="B143" s="145" t="str">
        <f t="shared" si="11"/>
        <v/>
      </c>
      <c r="C143" s="496">
        <f>IF(D94="","-",+C142+1)</f>
        <v>2063</v>
      </c>
      <c r="D143" s="350">
        <f>IF(F142+SUM(E$100:E142)=D$93,F142,D$93-SUM(E$100:E142))</f>
        <v>0</v>
      </c>
      <c r="E143" s="510">
        <f t="shared" si="18"/>
        <v>0</v>
      </c>
      <c r="F143" s="511">
        <f t="shared" si="19"/>
        <v>0</v>
      </c>
      <c r="G143" s="511">
        <f t="shared" si="20"/>
        <v>0</v>
      </c>
      <c r="H143" s="645">
        <f t="shared" si="23"/>
        <v>0</v>
      </c>
      <c r="I143" s="628">
        <f t="shared" si="22"/>
        <v>0</v>
      </c>
      <c r="J143" s="505">
        <f t="shared" si="24"/>
        <v>0</v>
      </c>
      <c r="K143" s="505"/>
      <c r="L143" s="513"/>
      <c r="M143" s="505">
        <f t="shared" si="25"/>
        <v>0</v>
      </c>
      <c r="N143" s="513"/>
      <c r="O143" s="505">
        <f t="shared" si="26"/>
        <v>0</v>
      </c>
      <c r="P143" s="505">
        <f t="shared" si="27"/>
        <v>0</v>
      </c>
    </row>
    <row r="144" spans="2:16" ht="12.5">
      <c r="B144" s="145" t="str">
        <f t="shared" si="11"/>
        <v/>
      </c>
      <c r="C144" s="496">
        <f>IF(D94="","-",+C143+1)</f>
        <v>2064</v>
      </c>
      <c r="D144" s="350">
        <f>IF(F143+SUM(E$100:E143)=D$93,F143,D$93-SUM(E$100:E143))</f>
        <v>0</v>
      </c>
      <c r="E144" s="510">
        <f t="shared" si="18"/>
        <v>0</v>
      </c>
      <c r="F144" s="511">
        <f t="shared" si="19"/>
        <v>0</v>
      </c>
      <c r="G144" s="511">
        <f t="shared" si="20"/>
        <v>0</v>
      </c>
      <c r="H144" s="645">
        <f t="shared" si="23"/>
        <v>0</v>
      </c>
      <c r="I144" s="628">
        <f t="shared" si="22"/>
        <v>0</v>
      </c>
      <c r="J144" s="505">
        <f t="shared" si="24"/>
        <v>0</v>
      </c>
      <c r="K144" s="505"/>
      <c r="L144" s="513"/>
      <c r="M144" s="505">
        <f t="shared" si="25"/>
        <v>0</v>
      </c>
      <c r="N144" s="513"/>
      <c r="O144" s="505">
        <f t="shared" si="26"/>
        <v>0</v>
      </c>
      <c r="P144" s="505">
        <f t="shared" si="27"/>
        <v>0</v>
      </c>
    </row>
    <row r="145" spans="2:16" ht="12.5">
      <c r="B145" s="145" t="str">
        <f t="shared" si="11"/>
        <v/>
      </c>
      <c r="C145" s="496">
        <f>IF(D94="","-",+C144+1)</f>
        <v>2065</v>
      </c>
      <c r="D145" s="350">
        <f>IF(F144+SUM(E$100:E144)=D$93,F144,D$93-SUM(E$100:E144))</f>
        <v>0</v>
      </c>
      <c r="E145" s="510">
        <f t="shared" si="18"/>
        <v>0</v>
      </c>
      <c r="F145" s="511">
        <f t="shared" si="19"/>
        <v>0</v>
      </c>
      <c r="G145" s="511">
        <f t="shared" si="20"/>
        <v>0</v>
      </c>
      <c r="H145" s="645">
        <f t="shared" si="23"/>
        <v>0</v>
      </c>
      <c r="I145" s="628">
        <f t="shared" si="22"/>
        <v>0</v>
      </c>
      <c r="J145" s="505">
        <f t="shared" si="24"/>
        <v>0</v>
      </c>
      <c r="K145" s="505"/>
      <c r="L145" s="513"/>
      <c r="M145" s="505">
        <f t="shared" si="25"/>
        <v>0</v>
      </c>
      <c r="N145" s="513"/>
      <c r="O145" s="505">
        <f t="shared" si="26"/>
        <v>0</v>
      </c>
      <c r="P145" s="505">
        <f t="shared" si="27"/>
        <v>0</v>
      </c>
    </row>
    <row r="146" spans="2:16" ht="12.5">
      <c r="B146" s="145" t="str">
        <f t="shared" si="11"/>
        <v/>
      </c>
      <c r="C146" s="496">
        <f>IF(D94="","-",+C145+1)</f>
        <v>2066</v>
      </c>
      <c r="D146" s="350">
        <f>IF(F145+SUM(E$100:E145)=D$93,F145,D$93-SUM(E$100:E145))</f>
        <v>0</v>
      </c>
      <c r="E146" s="510">
        <f t="shared" si="18"/>
        <v>0</v>
      </c>
      <c r="F146" s="511">
        <f t="shared" si="19"/>
        <v>0</v>
      </c>
      <c r="G146" s="511">
        <f t="shared" si="20"/>
        <v>0</v>
      </c>
      <c r="H146" s="645">
        <f t="shared" si="23"/>
        <v>0</v>
      </c>
      <c r="I146" s="628">
        <f t="shared" si="22"/>
        <v>0</v>
      </c>
      <c r="J146" s="505">
        <f t="shared" si="24"/>
        <v>0</v>
      </c>
      <c r="K146" s="505"/>
      <c r="L146" s="513"/>
      <c r="M146" s="505">
        <f t="shared" si="25"/>
        <v>0</v>
      </c>
      <c r="N146" s="513"/>
      <c r="O146" s="505">
        <f t="shared" si="26"/>
        <v>0</v>
      </c>
      <c r="P146" s="505">
        <f t="shared" si="27"/>
        <v>0</v>
      </c>
    </row>
    <row r="147" spans="2:16" ht="12.5">
      <c r="B147" s="145" t="str">
        <f t="shared" si="11"/>
        <v/>
      </c>
      <c r="C147" s="496">
        <f>IF(D94="","-",+C146+1)</f>
        <v>2067</v>
      </c>
      <c r="D147" s="350">
        <f>IF(F146+SUM(E$100:E146)=D$93,F146,D$93-SUM(E$100:E146))</f>
        <v>0</v>
      </c>
      <c r="E147" s="510">
        <f t="shared" si="18"/>
        <v>0</v>
      </c>
      <c r="F147" s="511">
        <f t="shared" si="19"/>
        <v>0</v>
      </c>
      <c r="G147" s="511">
        <f t="shared" si="20"/>
        <v>0</v>
      </c>
      <c r="H147" s="645">
        <f t="shared" si="23"/>
        <v>0</v>
      </c>
      <c r="I147" s="628">
        <f t="shared" si="22"/>
        <v>0</v>
      </c>
      <c r="J147" s="505">
        <f t="shared" si="24"/>
        <v>0</v>
      </c>
      <c r="K147" s="505"/>
      <c r="L147" s="513"/>
      <c r="M147" s="505">
        <f t="shared" si="25"/>
        <v>0</v>
      </c>
      <c r="N147" s="513"/>
      <c r="O147" s="505">
        <f t="shared" si="26"/>
        <v>0</v>
      </c>
      <c r="P147" s="505">
        <f t="shared" si="27"/>
        <v>0</v>
      </c>
    </row>
    <row r="148" spans="2:16" ht="12.5">
      <c r="B148" s="145" t="str">
        <f t="shared" si="11"/>
        <v/>
      </c>
      <c r="C148" s="496">
        <f>IF(D94="","-",+C147+1)</f>
        <v>2068</v>
      </c>
      <c r="D148" s="350">
        <f>IF(F147+SUM(E$100:E147)=D$93,F147,D$93-SUM(E$100:E147))</f>
        <v>0</v>
      </c>
      <c r="E148" s="510">
        <f t="shared" si="18"/>
        <v>0</v>
      </c>
      <c r="F148" s="511">
        <f t="shared" si="19"/>
        <v>0</v>
      </c>
      <c r="G148" s="511">
        <f t="shared" si="20"/>
        <v>0</v>
      </c>
      <c r="H148" s="645">
        <f t="shared" si="23"/>
        <v>0</v>
      </c>
      <c r="I148" s="628">
        <f t="shared" si="22"/>
        <v>0</v>
      </c>
      <c r="J148" s="505">
        <f t="shared" si="24"/>
        <v>0</v>
      </c>
      <c r="K148" s="505"/>
      <c r="L148" s="513"/>
      <c r="M148" s="505">
        <f t="shared" si="25"/>
        <v>0</v>
      </c>
      <c r="N148" s="513"/>
      <c r="O148" s="505">
        <f t="shared" si="26"/>
        <v>0</v>
      </c>
      <c r="P148" s="505">
        <f t="shared" si="27"/>
        <v>0</v>
      </c>
    </row>
    <row r="149" spans="2:16" ht="12.5">
      <c r="B149" s="145" t="str">
        <f t="shared" si="11"/>
        <v/>
      </c>
      <c r="C149" s="496">
        <f>IF(D94="","-",+C148+1)</f>
        <v>2069</v>
      </c>
      <c r="D149" s="350">
        <f>IF(F148+SUM(E$100:E148)=D$93,F148,D$93-SUM(E$100:E148))</f>
        <v>0</v>
      </c>
      <c r="E149" s="510">
        <f t="shared" si="18"/>
        <v>0</v>
      </c>
      <c r="F149" s="511">
        <f t="shared" si="19"/>
        <v>0</v>
      </c>
      <c r="G149" s="511">
        <f t="shared" si="20"/>
        <v>0</v>
      </c>
      <c r="H149" s="645">
        <f t="shared" si="23"/>
        <v>0</v>
      </c>
      <c r="I149" s="628">
        <f t="shared" si="22"/>
        <v>0</v>
      </c>
      <c r="J149" s="505">
        <f t="shared" si="24"/>
        <v>0</v>
      </c>
      <c r="K149" s="505"/>
      <c r="L149" s="513"/>
      <c r="M149" s="505">
        <f t="shared" si="25"/>
        <v>0</v>
      </c>
      <c r="N149" s="513"/>
      <c r="O149" s="505">
        <f t="shared" si="26"/>
        <v>0</v>
      </c>
      <c r="P149" s="505">
        <f t="shared" si="27"/>
        <v>0</v>
      </c>
    </row>
    <row r="150" spans="2:16" ht="12.5">
      <c r="B150" s="145" t="str">
        <f t="shared" si="11"/>
        <v/>
      </c>
      <c r="C150" s="496">
        <f>IF(D94="","-",+C149+1)</f>
        <v>2070</v>
      </c>
      <c r="D150" s="350">
        <f>IF(F149+SUM(E$100:E149)=D$93,F149,D$93-SUM(E$100:E149))</f>
        <v>0</v>
      </c>
      <c r="E150" s="510">
        <f t="shared" si="18"/>
        <v>0</v>
      </c>
      <c r="F150" s="511">
        <f t="shared" si="19"/>
        <v>0</v>
      </c>
      <c r="G150" s="511">
        <f t="shared" si="20"/>
        <v>0</v>
      </c>
      <c r="H150" s="645">
        <f t="shared" si="23"/>
        <v>0</v>
      </c>
      <c r="I150" s="628">
        <f t="shared" si="22"/>
        <v>0</v>
      </c>
      <c r="J150" s="505">
        <f t="shared" si="24"/>
        <v>0</v>
      </c>
      <c r="K150" s="505"/>
      <c r="L150" s="513"/>
      <c r="M150" s="505">
        <f t="shared" si="25"/>
        <v>0</v>
      </c>
      <c r="N150" s="513"/>
      <c r="O150" s="505">
        <f t="shared" si="26"/>
        <v>0</v>
      </c>
      <c r="P150" s="505">
        <f t="shared" si="27"/>
        <v>0</v>
      </c>
    </row>
    <row r="151" spans="2:16" ht="12.5">
      <c r="B151" s="145" t="str">
        <f t="shared" si="11"/>
        <v/>
      </c>
      <c r="C151" s="496">
        <f>IF(D94="","-",+C150+1)</f>
        <v>2071</v>
      </c>
      <c r="D151" s="350">
        <f>IF(F150+SUM(E$100:E150)=D$93,F150,D$93-SUM(E$100:E150))</f>
        <v>0</v>
      </c>
      <c r="E151" s="510">
        <f t="shared" si="18"/>
        <v>0</v>
      </c>
      <c r="F151" s="511">
        <f t="shared" si="19"/>
        <v>0</v>
      </c>
      <c r="G151" s="511">
        <f t="shared" si="20"/>
        <v>0</v>
      </c>
      <c r="H151" s="645">
        <f t="shared" si="23"/>
        <v>0</v>
      </c>
      <c r="I151" s="628">
        <f t="shared" si="22"/>
        <v>0</v>
      </c>
      <c r="J151" s="505">
        <f t="shared" si="24"/>
        <v>0</v>
      </c>
      <c r="K151" s="505"/>
      <c r="L151" s="513"/>
      <c r="M151" s="505">
        <f t="shared" si="25"/>
        <v>0</v>
      </c>
      <c r="N151" s="513"/>
      <c r="O151" s="505">
        <f t="shared" si="26"/>
        <v>0</v>
      </c>
      <c r="P151" s="505">
        <f t="shared" si="27"/>
        <v>0</v>
      </c>
    </row>
    <row r="152" spans="2:16" ht="12.5">
      <c r="B152" s="145" t="str">
        <f t="shared" si="11"/>
        <v/>
      </c>
      <c r="C152" s="496">
        <f>IF(D94="","-",+C151+1)</f>
        <v>2072</v>
      </c>
      <c r="D152" s="350">
        <f>IF(F151+SUM(E$100:E151)=D$93,F151,D$93-SUM(E$100:E151))</f>
        <v>0</v>
      </c>
      <c r="E152" s="510">
        <f t="shared" si="18"/>
        <v>0</v>
      </c>
      <c r="F152" s="511">
        <f t="shared" si="19"/>
        <v>0</v>
      </c>
      <c r="G152" s="511">
        <f t="shared" si="20"/>
        <v>0</v>
      </c>
      <c r="H152" s="645">
        <f t="shared" si="23"/>
        <v>0</v>
      </c>
      <c r="I152" s="628">
        <f t="shared" si="22"/>
        <v>0</v>
      </c>
      <c r="J152" s="505">
        <f t="shared" si="24"/>
        <v>0</v>
      </c>
      <c r="K152" s="505"/>
      <c r="L152" s="513"/>
      <c r="M152" s="505">
        <f t="shared" si="25"/>
        <v>0</v>
      </c>
      <c r="N152" s="513"/>
      <c r="O152" s="505">
        <f t="shared" si="26"/>
        <v>0</v>
      </c>
      <c r="P152" s="505">
        <f t="shared" si="27"/>
        <v>0</v>
      </c>
    </row>
    <row r="153" spans="2:16" ht="12.5">
      <c r="B153" s="145" t="str">
        <f t="shared" si="11"/>
        <v/>
      </c>
      <c r="C153" s="496">
        <f>IF(D94="","-",+C152+1)</f>
        <v>2073</v>
      </c>
      <c r="D153" s="350">
        <f>IF(F152+SUM(E$100:E152)=D$93,F152,D$93-SUM(E$100:E152))</f>
        <v>0</v>
      </c>
      <c r="E153" s="510">
        <f t="shared" si="18"/>
        <v>0</v>
      </c>
      <c r="F153" s="511">
        <f t="shared" si="19"/>
        <v>0</v>
      </c>
      <c r="G153" s="511">
        <f t="shared" si="20"/>
        <v>0</v>
      </c>
      <c r="H153" s="645">
        <f t="shared" si="23"/>
        <v>0</v>
      </c>
      <c r="I153" s="628">
        <f t="shared" si="22"/>
        <v>0</v>
      </c>
      <c r="J153" s="505">
        <f t="shared" si="24"/>
        <v>0</v>
      </c>
      <c r="K153" s="505"/>
      <c r="L153" s="513"/>
      <c r="M153" s="505">
        <f t="shared" si="25"/>
        <v>0</v>
      </c>
      <c r="N153" s="513"/>
      <c r="O153" s="505">
        <f t="shared" si="26"/>
        <v>0</v>
      </c>
      <c r="P153" s="505">
        <f t="shared" si="27"/>
        <v>0</v>
      </c>
    </row>
    <row r="154" spans="2:16" ht="12.5">
      <c r="B154" s="145" t="str">
        <f t="shared" si="11"/>
        <v/>
      </c>
      <c r="C154" s="496">
        <f>IF(D94="","-",+C153+1)</f>
        <v>2074</v>
      </c>
      <c r="D154" s="350">
        <f>IF(F153+SUM(E$100:E153)=D$93,F153,D$93-SUM(E$100:E153))</f>
        <v>0</v>
      </c>
      <c r="E154" s="510">
        <f t="shared" si="18"/>
        <v>0</v>
      </c>
      <c r="F154" s="511">
        <f t="shared" si="19"/>
        <v>0</v>
      </c>
      <c r="G154" s="511">
        <f t="shared" si="20"/>
        <v>0</v>
      </c>
      <c r="H154" s="645">
        <f t="shared" si="23"/>
        <v>0</v>
      </c>
      <c r="I154" s="628">
        <f t="shared" si="22"/>
        <v>0</v>
      </c>
      <c r="J154" s="505">
        <f t="shared" si="24"/>
        <v>0</v>
      </c>
      <c r="K154" s="505"/>
      <c r="L154" s="513"/>
      <c r="M154" s="505">
        <f t="shared" si="25"/>
        <v>0</v>
      </c>
      <c r="N154" s="513"/>
      <c r="O154" s="505">
        <f t="shared" si="26"/>
        <v>0</v>
      </c>
      <c r="P154" s="505">
        <f t="shared" si="27"/>
        <v>0</v>
      </c>
    </row>
    <row r="155" spans="2:16" ht="13" thickBot="1">
      <c r="B155" s="145" t="str">
        <f t="shared" si="11"/>
        <v/>
      </c>
      <c r="C155" s="525">
        <f>IF(D94="","-",+C154+1)</f>
        <v>2075</v>
      </c>
      <c r="D155" s="636">
        <f>IF(F154+SUM(E$100:E154)=D$93,F154,D$93-SUM(E$100:E154))</f>
        <v>0</v>
      </c>
      <c r="E155" s="527">
        <f t="shared" si="18"/>
        <v>0</v>
      </c>
      <c r="F155" s="528">
        <f t="shared" si="19"/>
        <v>0</v>
      </c>
      <c r="G155" s="528">
        <f t="shared" si="20"/>
        <v>0</v>
      </c>
      <c r="H155" s="645">
        <f t="shared" si="23"/>
        <v>0</v>
      </c>
      <c r="I155" s="624">
        <f t="shared" si="22"/>
        <v>0</v>
      </c>
      <c r="J155" s="532">
        <f t="shared" si="24"/>
        <v>0</v>
      </c>
      <c r="K155" s="505"/>
      <c r="L155" s="531"/>
      <c r="M155" s="532">
        <f t="shared" si="25"/>
        <v>0</v>
      </c>
      <c r="N155" s="531"/>
      <c r="O155" s="532">
        <f t="shared" si="26"/>
        <v>0</v>
      </c>
      <c r="P155" s="532">
        <f t="shared" si="27"/>
        <v>0</v>
      </c>
    </row>
    <row r="156" spans="2:16" ht="12.5">
      <c r="C156" s="350" t="s">
        <v>75</v>
      </c>
      <c r="D156" s="295"/>
      <c r="E156" s="295">
        <f>SUM(E100:E155)</f>
        <v>3721554.1800000006</v>
      </c>
      <c r="F156" s="295"/>
      <c r="G156" s="295"/>
      <c r="H156" s="295">
        <f>SUM(H100:H155)</f>
        <v>7824742.1166274901</v>
      </c>
      <c r="I156" s="295">
        <f>SUM(I100:I155)</f>
        <v>7824742.1166274901</v>
      </c>
      <c r="J156" s="295">
        <f>SUM(J100:J155)</f>
        <v>0</v>
      </c>
      <c r="K156" s="295"/>
      <c r="L156" s="295"/>
      <c r="M156" s="295"/>
      <c r="N156" s="295"/>
      <c r="O156" s="295"/>
      <c r="P156" s="244"/>
    </row>
    <row r="157" spans="2:16" ht="12.5">
      <c r="C157" s="145" t="s">
        <v>90</v>
      </c>
      <c r="D157" s="293"/>
      <c r="E157" s="244"/>
      <c r="F157" s="244"/>
      <c r="G157" s="244"/>
      <c r="H157" s="244"/>
      <c r="I157" s="326"/>
      <c r="J157" s="326"/>
      <c r="K157" s="295"/>
      <c r="L157" s="326"/>
      <c r="M157" s="326"/>
      <c r="N157" s="326"/>
      <c r="O157" s="326"/>
      <c r="P157" s="244"/>
    </row>
    <row r="158" spans="2:16" ht="12.5">
      <c r="C158" s="575"/>
      <c r="D158" s="293"/>
      <c r="E158" s="244"/>
      <c r="F158" s="244"/>
      <c r="G158" s="244"/>
      <c r="H158" s="244"/>
      <c r="I158" s="326"/>
      <c r="J158" s="326"/>
      <c r="K158" s="295"/>
      <c r="L158" s="326"/>
      <c r="M158" s="326"/>
      <c r="N158" s="326"/>
      <c r="O158" s="326"/>
      <c r="P158" s="244"/>
    </row>
    <row r="159" spans="2:16" ht="13">
      <c r="C159" s="620" t="s">
        <v>130</v>
      </c>
      <c r="D159" s="293"/>
      <c r="E159" s="244"/>
      <c r="F159" s="244"/>
      <c r="G159" s="244"/>
      <c r="H159" s="244"/>
      <c r="I159" s="326"/>
      <c r="J159" s="326"/>
      <c r="K159" s="295"/>
      <c r="L159" s="326"/>
      <c r="M159" s="326"/>
      <c r="N159" s="326"/>
      <c r="O159" s="326"/>
      <c r="P159" s="244"/>
    </row>
    <row r="160" spans="2:16" ht="13">
      <c r="C160" s="455" t="s">
        <v>76</v>
      </c>
      <c r="D160" s="350"/>
      <c r="E160" s="350"/>
      <c r="F160" s="350"/>
      <c r="G160" s="350"/>
      <c r="H160" s="295"/>
      <c r="I160" s="295"/>
      <c r="J160" s="351"/>
      <c r="K160" s="351"/>
      <c r="L160" s="351"/>
      <c r="M160" s="351"/>
      <c r="N160" s="351"/>
      <c r="O160" s="351"/>
      <c r="P160" s="244"/>
    </row>
    <row r="161" spans="3:16" ht="13">
      <c r="C161" s="576" t="s">
        <v>77</v>
      </c>
      <c r="D161" s="350"/>
      <c r="E161" s="350"/>
      <c r="F161" s="350"/>
      <c r="G161" s="350"/>
      <c r="H161" s="295"/>
      <c r="I161" s="295"/>
      <c r="J161" s="351"/>
      <c r="K161" s="351"/>
      <c r="L161" s="351"/>
      <c r="M161" s="351"/>
      <c r="N161" s="351"/>
      <c r="O161" s="351"/>
      <c r="P161" s="244"/>
    </row>
    <row r="162" spans="3:16" ht="13">
      <c r="C162" s="576"/>
      <c r="D162" s="350"/>
      <c r="E162" s="350"/>
      <c r="F162" s="350"/>
      <c r="G162" s="350"/>
      <c r="H162" s="295"/>
      <c r="I162" s="295"/>
      <c r="J162" s="351"/>
      <c r="K162" s="351"/>
      <c r="L162" s="351"/>
      <c r="M162" s="351"/>
      <c r="N162" s="351"/>
      <c r="O162" s="351"/>
      <c r="P162" s="244"/>
    </row>
    <row r="163" spans="3:16" ht="17.5">
      <c r="C163" s="576"/>
      <c r="D163" s="350"/>
      <c r="E163" s="350"/>
      <c r="F163" s="350"/>
      <c r="G163" s="350"/>
      <c r="H163" s="295"/>
      <c r="I163" s="295"/>
      <c r="J163" s="351"/>
      <c r="K163" s="351"/>
      <c r="L163" s="351"/>
      <c r="M163" s="351"/>
      <c r="N163" s="351"/>
      <c r="P163" s="584" t="s">
        <v>129</v>
      </c>
    </row>
  </sheetData>
  <conditionalFormatting sqref="C17:C71 C73">
    <cfRule type="cellIs" dxfId="14" priority="2" stopIfTrue="1" operator="equal">
      <formula>$I$10</formula>
    </cfRule>
  </conditionalFormatting>
  <conditionalFormatting sqref="C100:C155">
    <cfRule type="cellIs" dxfId="13" priority="3" stopIfTrue="1" operator="equal">
      <formula>$J$93</formula>
    </cfRule>
  </conditionalFormatting>
  <conditionalFormatting sqref="C72">
    <cfRule type="cellIs" dxfId="12" priority="1" stopIfTrue="1" operator="equal">
      <formula>$I$10</formula>
    </cfRule>
  </conditionalFormatting>
  <pageMargins left="0.5" right="0.25" top="1" bottom="0.35" header="0.25" footer="0.5"/>
  <pageSetup scale="4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FECCD-838B-4050-93A9-F02370E8505A}">
  <dimension ref="A1:P163"/>
  <sheetViews>
    <sheetView topLeftCell="A70" zoomScale="80" zoomScaleNormal="80" workbookViewId="0">
      <selection activeCell="J93" sqref="J93"/>
    </sheetView>
  </sheetViews>
  <sheetFormatPr defaultRowHeight="12.5"/>
  <cols>
    <col min="1" max="1" width="4.7265625" customWidth="1"/>
    <col min="2" max="2" width="6.7265625" customWidth="1"/>
    <col min="3" max="3" width="23.26953125" customWidth="1"/>
    <col min="4" max="8" width="17.7265625" customWidth="1"/>
    <col min="9" max="9" width="20.453125" customWidth="1"/>
    <col min="10" max="10" width="16.453125" customWidth="1"/>
    <col min="11" max="11" width="17.7265625" customWidth="1"/>
    <col min="12" max="12" width="16.1796875" customWidth="1"/>
    <col min="13" max="13" width="17.7265625" customWidth="1"/>
    <col min="14" max="14" width="16.7265625" customWidth="1"/>
    <col min="15" max="15" width="16.81640625" customWidth="1"/>
    <col min="16" max="16" width="24.453125" customWidth="1"/>
  </cols>
  <sheetData>
    <row r="1" spans="1:16" ht="20">
      <c r="A1" s="110" t="s">
        <v>189</v>
      </c>
      <c r="B1" s="652"/>
      <c r="C1" s="652"/>
      <c r="D1" s="653"/>
      <c r="E1" s="652"/>
      <c r="F1" s="654"/>
      <c r="G1" s="652"/>
      <c r="H1" s="655"/>
      <c r="K1" s="18"/>
      <c r="L1" s="18"/>
      <c r="M1" s="18"/>
      <c r="P1" s="656" t="s">
        <v>306</v>
      </c>
    </row>
    <row r="2" spans="1:16" ht="17.5">
      <c r="B2" s="652"/>
      <c r="C2" s="652"/>
      <c r="D2" s="653"/>
      <c r="E2" s="652"/>
      <c r="F2" s="652"/>
      <c r="G2" s="652"/>
      <c r="H2" s="655"/>
      <c r="I2" s="652"/>
      <c r="J2" s="652"/>
      <c r="K2" s="652"/>
      <c r="L2" s="652"/>
      <c r="M2" s="652"/>
      <c r="N2" s="652"/>
      <c r="P2" s="117" t="s">
        <v>131</v>
      </c>
    </row>
    <row r="3" spans="1:16" ht="18">
      <c r="B3" s="657" t="s">
        <v>42</v>
      </c>
      <c r="C3" s="658" t="s">
        <v>43</v>
      </c>
      <c r="D3" s="653"/>
      <c r="E3" s="652"/>
      <c r="F3" s="652"/>
      <c r="G3" s="652"/>
      <c r="H3" s="655"/>
      <c r="I3" s="655"/>
      <c r="J3" s="659"/>
      <c r="K3" s="655"/>
      <c r="L3" s="655"/>
      <c r="M3" s="655"/>
      <c r="N3" s="655"/>
      <c r="O3" s="652"/>
      <c r="P3" s="108">
        <v>1</v>
      </c>
    </row>
    <row r="4" spans="1:16" ht="16" thickBot="1">
      <c r="C4" s="660"/>
      <c r="D4" s="653"/>
      <c r="E4" s="652"/>
      <c r="F4" s="652"/>
      <c r="G4" s="652"/>
      <c r="H4" s="655"/>
      <c r="I4" s="655"/>
      <c r="J4" s="659"/>
      <c r="K4" s="655"/>
      <c r="L4" s="655"/>
      <c r="M4" s="655"/>
      <c r="N4" s="655"/>
      <c r="O4" s="652"/>
      <c r="P4" s="652"/>
    </row>
    <row r="5" spans="1:16" ht="15.5">
      <c r="C5" s="20" t="s">
        <v>44</v>
      </c>
      <c r="D5" s="653"/>
      <c r="E5" s="652"/>
      <c r="F5" s="652"/>
      <c r="G5" s="21"/>
      <c r="H5" s="652" t="s">
        <v>45</v>
      </c>
      <c r="I5" s="652"/>
      <c r="J5" s="652"/>
      <c r="K5" s="22" t="s">
        <v>242</v>
      </c>
      <c r="L5" s="23"/>
      <c r="M5" s="661"/>
      <c r="N5" s="25">
        <f>VLOOKUP(I10,C17:I73,5)</f>
        <v>131587.24825136422</v>
      </c>
      <c r="P5" s="652"/>
    </row>
    <row r="6" spans="1:16" ht="15.5">
      <c r="C6" s="8"/>
      <c r="D6" s="653"/>
      <c r="E6" s="652"/>
      <c r="F6" s="652"/>
      <c r="G6" s="652"/>
      <c r="H6" s="26"/>
      <c r="I6" s="26"/>
      <c r="J6" s="27"/>
      <c r="K6" s="28" t="s">
        <v>243</v>
      </c>
      <c r="L6" s="29"/>
      <c r="M6" s="652"/>
      <c r="N6" s="30">
        <f>VLOOKUP(I10,C17:I73,6)</f>
        <v>131587.24825136422</v>
      </c>
      <c r="O6" s="652"/>
      <c r="P6" s="652"/>
    </row>
    <row r="7" spans="1:16" ht="13.5" thickBot="1">
      <c r="C7" s="662" t="s">
        <v>46</v>
      </c>
      <c r="D7" s="104" t="s">
        <v>293</v>
      </c>
      <c r="E7" s="652"/>
      <c r="F7" s="652"/>
      <c r="G7" s="652"/>
      <c r="H7" s="655"/>
      <c r="I7" s="655"/>
      <c r="J7" s="659"/>
      <c r="K7" s="32" t="s">
        <v>47</v>
      </c>
      <c r="L7" s="663"/>
      <c r="M7" s="663"/>
      <c r="N7" s="664">
        <f>+N6-N5</f>
        <v>0</v>
      </c>
      <c r="O7" s="652"/>
      <c r="P7" s="652"/>
    </row>
    <row r="8" spans="1:16" ht="13.5" thickBot="1">
      <c r="C8" s="665"/>
      <c r="D8" s="100"/>
      <c r="E8" s="666"/>
      <c r="F8" s="666"/>
      <c r="G8" s="666"/>
      <c r="H8" s="666"/>
      <c r="I8" s="666"/>
      <c r="J8" s="666"/>
      <c r="K8" s="666"/>
      <c r="L8" s="666"/>
      <c r="M8" s="666"/>
      <c r="N8" s="666"/>
      <c r="O8" s="666"/>
      <c r="P8" s="652"/>
    </row>
    <row r="9" spans="1:16" ht="13.5" thickBot="1">
      <c r="C9" s="667" t="s">
        <v>48</v>
      </c>
      <c r="D9" s="106" t="s">
        <v>294</v>
      </c>
      <c r="E9" s="668" t="s">
        <v>295</v>
      </c>
      <c r="F9" s="669"/>
      <c r="G9" s="669"/>
      <c r="H9" s="669"/>
      <c r="I9" s="670"/>
      <c r="J9" s="671"/>
      <c r="P9" s="652"/>
    </row>
    <row r="10" spans="1:16" ht="13">
      <c r="C10" s="672" t="s">
        <v>49</v>
      </c>
      <c r="D10" s="43">
        <v>3900461.01</v>
      </c>
      <c r="E10" s="652" t="s">
        <v>50</v>
      </c>
      <c r="G10" s="653"/>
      <c r="H10" s="653"/>
      <c r="I10" s="673">
        <v>2022</v>
      </c>
      <c r="J10" s="671"/>
      <c r="K10" s="659" t="s">
        <v>51</v>
      </c>
      <c r="O10" s="652"/>
      <c r="P10" s="652"/>
    </row>
    <row r="11" spans="1:16">
      <c r="C11" s="672" t="s">
        <v>52</v>
      </c>
      <c r="D11" s="47">
        <v>2022</v>
      </c>
      <c r="E11" s="672" t="s">
        <v>53</v>
      </c>
      <c r="F11" s="653"/>
      <c r="I11" s="674">
        <v>0</v>
      </c>
      <c r="J11" s="675"/>
      <c r="K11" t="str">
        <f>"          INPUT PROJECTED ARR (WITH &amp; WITHOUT INCENTIVES) FROM EACH PRIOR YEAR"</f>
        <v xml:space="preserve">          INPUT PROJECTED ARR (WITH &amp; WITHOUT INCENTIVES) FROM EACH PRIOR YEAR</v>
      </c>
      <c r="O11" s="652"/>
      <c r="P11" s="652"/>
    </row>
    <row r="12" spans="1:16">
      <c r="C12" s="672" t="s">
        <v>54</v>
      </c>
      <c r="D12" s="471">
        <v>6</v>
      </c>
      <c r="E12" s="672" t="s">
        <v>55</v>
      </c>
      <c r="F12" s="653"/>
      <c r="I12" s="676">
        <v>0.11475877389767174</v>
      </c>
      <c r="J12" s="654"/>
      <c r="K12" t="s">
        <v>56</v>
      </c>
      <c r="O12" s="652"/>
      <c r="P12" s="652"/>
    </row>
    <row r="13" spans="1:16">
      <c r="C13" s="672" t="s">
        <v>57</v>
      </c>
      <c r="D13" s="674">
        <v>33</v>
      </c>
      <c r="E13" s="672" t="s">
        <v>58</v>
      </c>
      <c r="F13" s="653"/>
      <c r="I13" s="676">
        <v>0.11475877389767174</v>
      </c>
      <c r="J13" s="654"/>
      <c r="K13" s="659" t="s">
        <v>59</v>
      </c>
      <c r="L13" s="654"/>
      <c r="M13" s="654"/>
      <c r="N13" s="654"/>
      <c r="O13" s="652"/>
      <c r="P13" s="652"/>
    </row>
    <row r="14" spans="1:16" ht="13" thickBot="1">
      <c r="C14" s="672" t="s">
        <v>60</v>
      </c>
      <c r="D14" s="47" t="s">
        <v>61</v>
      </c>
      <c r="E14" s="652" t="s">
        <v>62</v>
      </c>
      <c r="F14" s="653"/>
      <c r="I14" s="677">
        <f>IF(D10=0,0,D10/D13)</f>
        <v>118195.78818181818</v>
      </c>
      <c r="J14" s="659"/>
      <c r="K14" s="659"/>
      <c r="L14" s="659"/>
      <c r="M14" s="659"/>
      <c r="N14" s="659"/>
      <c r="O14" s="652"/>
      <c r="P14" s="652"/>
    </row>
    <row r="15" spans="1:16" ht="39">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652"/>
    </row>
    <row r="16" spans="1:16" ht="13.5" thickBot="1">
      <c r="C16" s="57" t="s">
        <v>68</v>
      </c>
      <c r="D16" s="140" t="s">
        <v>69</v>
      </c>
      <c r="E16" s="57" t="s">
        <v>70</v>
      </c>
      <c r="F16" s="57" t="s">
        <v>69</v>
      </c>
      <c r="G16" s="142" t="s">
        <v>71</v>
      </c>
      <c r="H16" s="58" t="s">
        <v>72</v>
      </c>
      <c r="I16" s="57" t="s">
        <v>93</v>
      </c>
      <c r="J16" s="55" t="s">
        <v>73</v>
      </c>
      <c r="K16" s="61" t="s">
        <v>74</v>
      </c>
      <c r="L16" s="135" t="s">
        <v>74</v>
      </c>
      <c r="M16" s="61" t="s">
        <v>94</v>
      </c>
      <c r="N16" s="136" t="s">
        <v>94</v>
      </c>
      <c r="O16" s="61" t="s">
        <v>94</v>
      </c>
      <c r="P16" s="652"/>
    </row>
    <row r="17" spans="2:16">
      <c r="B17" t="str">
        <f t="shared" ref="B17:B71" si="0">IF(D17=F16,"","IU")</f>
        <v>IU</v>
      </c>
      <c r="C17" s="678">
        <f>IF(D11= "","-",D11)</f>
        <v>2022</v>
      </c>
      <c r="D17" s="639">
        <v>0</v>
      </c>
      <c r="E17" s="641">
        <v>10694.898989898989</v>
      </c>
      <c r="F17" s="641">
        <v>2106895.1010101009</v>
      </c>
      <c r="G17" s="641">
        <v>131587.24825136422</v>
      </c>
      <c r="H17" s="641">
        <v>131587.24825136422</v>
      </c>
      <c r="I17" s="682">
        <f t="shared" ref="I17:I71" si="1">H17-G17</f>
        <v>0</v>
      </c>
      <c r="J17" s="682"/>
      <c r="K17" s="502">
        <f>+G17</f>
        <v>131587.24825136422</v>
      </c>
      <c r="L17" s="504">
        <f t="shared" ref="L17:L18" si="2">IF(K17&lt;&gt;0,+G17-K17,0)</f>
        <v>0</v>
      </c>
      <c r="M17" s="502">
        <f>+H17</f>
        <v>131587.24825136422</v>
      </c>
      <c r="N17" s="684">
        <f t="shared" ref="N17:N71" si="3">IF(M17&lt;&gt;0,+H17-M17,0)</f>
        <v>0</v>
      </c>
      <c r="O17" s="685">
        <f t="shared" ref="O17:O71" si="4">+N17-L17</f>
        <v>0</v>
      </c>
      <c r="P17" s="652"/>
    </row>
    <row r="18" spans="2:16">
      <c r="B18" t="str">
        <f t="shared" si="0"/>
        <v>IU</v>
      </c>
      <c r="C18" s="678">
        <f>IF(D11="","-",+C17+1)</f>
        <v>2023</v>
      </c>
      <c r="D18" s="615">
        <v>6142792.1010101009</v>
      </c>
      <c r="E18" s="614">
        <v>198499.5806451613</v>
      </c>
      <c r="F18" s="615">
        <v>5944292.5203649392</v>
      </c>
      <c r="G18" s="614">
        <v>881618.42255373427</v>
      </c>
      <c r="H18" s="618">
        <v>881618.42255373427</v>
      </c>
      <c r="I18" s="682">
        <f t="shared" si="1"/>
        <v>0</v>
      </c>
      <c r="J18" s="682"/>
      <c r="K18" s="593">
        <f>+G18</f>
        <v>881618.42255373427</v>
      </c>
      <c r="L18" s="597">
        <f t="shared" si="2"/>
        <v>0</v>
      </c>
      <c r="M18" s="593">
        <f>+H18</f>
        <v>881618.42255373427</v>
      </c>
      <c r="N18" s="685">
        <f t="shared" si="3"/>
        <v>0</v>
      </c>
      <c r="O18" s="685">
        <f t="shared" si="4"/>
        <v>0</v>
      </c>
      <c r="P18" s="652"/>
    </row>
    <row r="19" spans="2:16">
      <c r="B19" t="str">
        <f t="shared" si="0"/>
        <v>IU</v>
      </c>
      <c r="C19" s="678">
        <f>IF(D11="","-",+C18+1)</f>
        <v>2024</v>
      </c>
      <c r="D19" s="681">
        <f>IF(F18+SUM(E$17:E18)=D$10,F18,D$10-SUM(E$17:E18))</f>
        <v>3691266.5303649395</v>
      </c>
      <c r="E19" s="69">
        <f t="shared" ref="E19:E71" si="5">IF(+I$14&lt;F18,I$14,D19)</f>
        <v>118195.78818181818</v>
      </c>
      <c r="F19" s="681">
        <f t="shared" ref="F19:F71" si="6">+D19-E19</f>
        <v>3573070.7421831214</v>
      </c>
      <c r="G19" s="686">
        <f t="shared" ref="G19:G71" si="7">(D19+F19)/2*I$12+E19</f>
        <v>535019.00747020438</v>
      </c>
      <c r="H19" s="677">
        <f t="shared" ref="H19:H71" si="8">+(D19+F19)/2*I$13+E19</f>
        <v>535019.00747020438</v>
      </c>
      <c r="I19" s="682">
        <f t="shared" si="1"/>
        <v>0</v>
      </c>
      <c r="J19" s="682"/>
      <c r="K19" s="130"/>
      <c r="L19" s="685">
        <f t="shared" ref="L19:L71" si="9">IF(K19&lt;&gt;0,+G19-K19,0)</f>
        <v>0</v>
      </c>
      <c r="M19" s="130"/>
      <c r="N19" s="685">
        <f t="shared" si="3"/>
        <v>0</v>
      </c>
      <c r="O19" s="685">
        <f t="shared" si="4"/>
        <v>0</v>
      </c>
      <c r="P19" s="652"/>
    </row>
    <row r="20" spans="2:16">
      <c r="B20" t="str">
        <f t="shared" si="0"/>
        <v/>
      </c>
      <c r="C20" s="678">
        <f>IF(D11="","-",+C19+1)</f>
        <v>2025</v>
      </c>
      <c r="D20" s="681">
        <f>IF(F19+SUM(E$17:E19)=D$10,F19,D$10-SUM(E$17:E19))</f>
        <v>3573070.7421831214</v>
      </c>
      <c r="E20" s="69">
        <f t="shared" si="5"/>
        <v>118195.78818181818</v>
      </c>
      <c r="F20" s="681">
        <f t="shared" si="6"/>
        <v>3454874.9540013033</v>
      </c>
      <c r="G20" s="686">
        <f t="shared" si="7"/>
        <v>521455.00373858993</v>
      </c>
      <c r="H20" s="677">
        <f t="shared" si="8"/>
        <v>521455.00373858993</v>
      </c>
      <c r="I20" s="682">
        <f t="shared" si="1"/>
        <v>0</v>
      </c>
      <c r="J20" s="682"/>
      <c r="K20" s="130"/>
      <c r="L20" s="685">
        <f t="shared" si="9"/>
        <v>0</v>
      </c>
      <c r="M20" s="130"/>
      <c r="N20" s="685">
        <f t="shared" si="3"/>
        <v>0</v>
      </c>
      <c r="O20" s="685">
        <f t="shared" si="4"/>
        <v>0</v>
      </c>
      <c r="P20" s="652"/>
    </row>
    <row r="21" spans="2:16">
      <c r="B21" t="str">
        <f t="shared" si="0"/>
        <v/>
      </c>
      <c r="C21" s="678">
        <f>IF(D11="","-",+C20+1)</f>
        <v>2026</v>
      </c>
      <c r="D21" s="681">
        <f>IF(F20+SUM(E$17:E20)=D$10,F20,D$10-SUM(E$17:E20))</f>
        <v>3454874.9540013033</v>
      </c>
      <c r="E21" s="69">
        <f t="shared" si="5"/>
        <v>118195.78818181818</v>
      </c>
      <c r="F21" s="681">
        <f t="shared" si="6"/>
        <v>3336679.1658194852</v>
      </c>
      <c r="G21" s="686">
        <f t="shared" si="7"/>
        <v>507891.00000697561</v>
      </c>
      <c r="H21" s="677">
        <f t="shared" si="8"/>
        <v>507891.00000697561</v>
      </c>
      <c r="I21" s="682">
        <f t="shared" si="1"/>
        <v>0</v>
      </c>
      <c r="J21" s="682"/>
      <c r="K21" s="130"/>
      <c r="L21" s="685">
        <f t="shared" si="9"/>
        <v>0</v>
      </c>
      <c r="M21" s="130"/>
      <c r="N21" s="685">
        <f t="shared" si="3"/>
        <v>0</v>
      </c>
      <c r="O21" s="685">
        <f t="shared" si="4"/>
        <v>0</v>
      </c>
      <c r="P21" s="652"/>
    </row>
    <row r="22" spans="2:16">
      <c r="B22" t="str">
        <f t="shared" si="0"/>
        <v/>
      </c>
      <c r="C22" s="678">
        <f>IF(D11="","-",+C21+1)</f>
        <v>2027</v>
      </c>
      <c r="D22" s="681">
        <f>IF(F21+SUM(E$17:E21)=D$10,F21,D$10-SUM(E$17:E21))</f>
        <v>3336679.1658194852</v>
      </c>
      <c r="E22" s="69">
        <f t="shared" si="5"/>
        <v>118195.78818181818</v>
      </c>
      <c r="F22" s="681">
        <f t="shared" si="6"/>
        <v>3218483.3776376671</v>
      </c>
      <c r="G22" s="686">
        <f t="shared" si="7"/>
        <v>494326.99627536128</v>
      </c>
      <c r="H22" s="677">
        <f t="shared" si="8"/>
        <v>494326.99627536128</v>
      </c>
      <c r="I22" s="682">
        <f t="shared" si="1"/>
        <v>0</v>
      </c>
      <c r="J22" s="682"/>
      <c r="K22" s="130"/>
      <c r="L22" s="685">
        <f t="shared" si="9"/>
        <v>0</v>
      </c>
      <c r="M22" s="130"/>
      <c r="N22" s="685">
        <f t="shared" si="3"/>
        <v>0</v>
      </c>
      <c r="O22" s="685">
        <f t="shared" si="4"/>
        <v>0</v>
      </c>
      <c r="P22" s="652"/>
    </row>
    <row r="23" spans="2:16">
      <c r="B23" t="str">
        <f t="shared" si="0"/>
        <v/>
      </c>
      <c r="C23" s="678">
        <f>IF(D11="","-",+C22+1)</f>
        <v>2028</v>
      </c>
      <c r="D23" s="681">
        <f>IF(F22+SUM(E$17:E22)=D$10,F22,D$10-SUM(E$17:E22))</f>
        <v>3218483.3776376671</v>
      </c>
      <c r="E23" s="69">
        <f t="shared" si="5"/>
        <v>118195.78818181818</v>
      </c>
      <c r="F23" s="681">
        <f t="shared" si="6"/>
        <v>3100287.589455849</v>
      </c>
      <c r="G23" s="686">
        <f t="shared" si="7"/>
        <v>480762.99254374683</v>
      </c>
      <c r="H23" s="677">
        <f t="shared" si="8"/>
        <v>480762.99254374683</v>
      </c>
      <c r="I23" s="682">
        <f t="shared" si="1"/>
        <v>0</v>
      </c>
      <c r="J23" s="682"/>
      <c r="K23" s="130"/>
      <c r="L23" s="685">
        <f t="shared" si="9"/>
        <v>0</v>
      </c>
      <c r="M23" s="130"/>
      <c r="N23" s="685">
        <f t="shared" si="3"/>
        <v>0</v>
      </c>
      <c r="O23" s="685">
        <f t="shared" si="4"/>
        <v>0</v>
      </c>
      <c r="P23" s="652"/>
    </row>
    <row r="24" spans="2:16">
      <c r="B24" t="str">
        <f t="shared" si="0"/>
        <v/>
      </c>
      <c r="C24" s="678">
        <f>IF(D11="","-",+C23+1)</f>
        <v>2029</v>
      </c>
      <c r="D24" s="681">
        <f>IF(F23+SUM(E$17:E23)=D$10,F23,D$10-SUM(E$17:E23))</f>
        <v>3100287.589455849</v>
      </c>
      <c r="E24" s="69">
        <f t="shared" si="5"/>
        <v>118195.78818181818</v>
      </c>
      <c r="F24" s="681">
        <f t="shared" si="6"/>
        <v>2982091.8012740309</v>
      </c>
      <c r="G24" s="686">
        <f t="shared" si="7"/>
        <v>467198.98881213251</v>
      </c>
      <c r="H24" s="677">
        <f t="shared" si="8"/>
        <v>467198.98881213251</v>
      </c>
      <c r="I24" s="682">
        <f t="shared" si="1"/>
        <v>0</v>
      </c>
      <c r="J24" s="682"/>
      <c r="K24" s="130"/>
      <c r="L24" s="685">
        <f t="shared" si="9"/>
        <v>0</v>
      </c>
      <c r="M24" s="130"/>
      <c r="N24" s="685">
        <f t="shared" si="3"/>
        <v>0</v>
      </c>
      <c r="O24" s="685">
        <f t="shared" si="4"/>
        <v>0</v>
      </c>
      <c r="P24" s="652"/>
    </row>
    <row r="25" spans="2:16">
      <c r="B25" t="str">
        <f t="shared" si="0"/>
        <v/>
      </c>
      <c r="C25" s="678">
        <f>IF(D11="","-",+C24+1)</f>
        <v>2030</v>
      </c>
      <c r="D25" s="681">
        <f>IF(F24+SUM(E$17:E24)=D$10,F24,D$10-SUM(E$17:E24))</f>
        <v>2982091.8012740309</v>
      </c>
      <c r="E25" s="69">
        <f t="shared" si="5"/>
        <v>118195.78818181818</v>
      </c>
      <c r="F25" s="681">
        <f t="shared" si="6"/>
        <v>2863896.0130922128</v>
      </c>
      <c r="G25" s="686">
        <f t="shared" si="7"/>
        <v>453634.98508051818</v>
      </c>
      <c r="H25" s="677">
        <f t="shared" si="8"/>
        <v>453634.98508051818</v>
      </c>
      <c r="I25" s="682">
        <f t="shared" si="1"/>
        <v>0</v>
      </c>
      <c r="J25" s="682"/>
      <c r="K25" s="130"/>
      <c r="L25" s="685">
        <f t="shared" si="9"/>
        <v>0</v>
      </c>
      <c r="M25" s="130"/>
      <c r="N25" s="685">
        <f t="shared" si="3"/>
        <v>0</v>
      </c>
      <c r="O25" s="685">
        <f t="shared" si="4"/>
        <v>0</v>
      </c>
      <c r="P25" s="652"/>
    </row>
    <row r="26" spans="2:16">
      <c r="B26" t="str">
        <f t="shared" si="0"/>
        <v/>
      </c>
      <c r="C26" s="678">
        <f>IF(D11="","-",+C25+1)</f>
        <v>2031</v>
      </c>
      <c r="D26" s="681">
        <f>IF(F25+SUM(E$17:E25)=D$10,F25,D$10-SUM(E$17:E25))</f>
        <v>2863896.0130922128</v>
      </c>
      <c r="E26" s="69">
        <f t="shared" si="5"/>
        <v>118195.78818181818</v>
      </c>
      <c r="F26" s="681">
        <f t="shared" si="6"/>
        <v>2745700.2249103948</v>
      </c>
      <c r="G26" s="686">
        <f t="shared" si="7"/>
        <v>440070.98134890373</v>
      </c>
      <c r="H26" s="677">
        <f t="shared" si="8"/>
        <v>440070.98134890373</v>
      </c>
      <c r="I26" s="682">
        <f t="shared" si="1"/>
        <v>0</v>
      </c>
      <c r="J26" s="682"/>
      <c r="K26" s="130"/>
      <c r="L26" s="685">
        <f t="shared" si="9"/>
        <v>0</v>
      </c>
      <c r="M26" s="130"/>
      <c r="N26" s="685">
        <f t="shared" si="3"/>
        <v>0</v>
      </c>
      <c r="O26" s="685">
        <f t="shared" si="4"/>
        <v>0</v>
      </c>
      <c r="P26" s="652"/>
    </row>
    <row r="27" spans="2:16">
      <c r="B27" t="str">
        <f t="shared" si="0"/>
        <v/>
      </c>
      <c r="C27" s="678">
        <f>IF(D11="","-",+C26+1)</f>
        <v>2032</v>
      </c>
      <c r="D27" s="681">
        <f>IF(F26+SUM(E$17:E26)=D$10,F26,D$10-SUM(E$17:E26))</f>
        <v>2745700.2249103948</v>
      </c>
      <c r="E27" s="69">
        <f t="shared" si="5"/>
        <v>118195.78818181818</v>
      </c>
      <c r="F27" s="681">
        <f t="shared" si="6"/>
        <v>2627504.4367285767</v>
      </c>
      <c r="G27" s="686">
        <f t="shared" si="7"/>
        <v>426506.97761728941</v>
      </c>
      <c r="H27" s="677">
        <f t="shared" si="8"/>
        <v>426506.97761728941</v>
      </c>
      <c r="I27" s="682">
        <f t="shared" si="1"/>
        <v>0</v>
      </c>
      <c r="J27" s="682"/>
      <c r="K27" s="130"/>
      <c r="L27" s="685">
        <f t="shared" si="9"/>
        <v>0</v>
      </c>
      <c r="M27" s="130"/>
      <c r="N27" s="685">
        <f t="shared" si="3"/>
        <v>0</v>
      </c>
      <c r="O27" s="685">
        <f t="shared" si="4"/>
        <v>0</v>
      </c>
      <c r="P27" s="652"/>
    </row>
    <row r="28" spans="2:16">
      <c r="B28" t="str">
        <f t="shared" si="0"/>
        <v/>
      </c>
      <c r="C28" s="678">
        <f>IF(D11="","-",+C27+1)</f>
        <v>2033</v>
      </c>
      <c r="D28" s="681">
        <f>IF(F27+SUM(E$17:E27)=D$10,F27,D$10-SUM(E$17:E27))</f>
        <v>2627504.4367285767</v>
      </c>
      <c r="E28" s="69">
        <f t="shared" si="5"/>
        <v>118195.78818181818</v>
      </c>
      <c r="F28" s="681">
        <f t="shared" si="6"/>
        <v>2509308.6485467586</v>
      </c>
      <c r="G28" s="686">
        <f t="shared" si="7"/>
        <v>412942.97388567508</v>
      </c>
      <c r="H28" s="677">
        <f t="shared" si="8"/>
        <v>412942.97388567508</v>
      </c>
      <c r="I28" s="682">
        <f t="shared" si="1"/>
        <v>0</v>
      </c>
      <c r="J28" s="682"/>
      <c r="K28" s="130"/>
      <c r="L28" s="685">
        <f t="shared" si="9"/>
        <v>0</v>
      </c>
      <c r="M28" s="130"/>
      <c r="N28" s="685">
        <f t="shared" si="3"/>
        <v>0</v>
      </c>
      <c r="O28" s="685">
        <f t="shared" si="4"/>
        <v>0</v>
      </c>
      <c r="P28" s="652"/>
    </row>
    <row r="29" spans="2:16">
      <c r="B29" t="str">
        <f t="shared" si="0"/>
        <v/>
      </c>
      <c r="C29" s="678">
        <f>IF(D11="","-",+C28+1)</f>
        <v>2034</v>
      </c>
      <c r="D29" s="681">
        <f>IF(F28+SUM(E$17:E28)=D$10,F28,D$10-SUM(E$17:E28))</f>
        <v>2509308.6485467586</v>
      </c>
      <c r="E29" s="69">
        <f t="shared" si="5"/>
        <v>118195.78818181818</v>
      </c>
      <c r="F29" s="681">
        <f t="shared" si="6"/>
        <v>2391112.8603649405</v>
      </c>
      <c r="G29" s="686">
        <f t="shared" si="7"/>
        <v>399378.97015406075</v>
      </c>
      <c r="H29" s="677">
        <f t="shared" si="8"/>
        <v>399378.97015406075</v>
      </c>
      <c r="I29" s="682">
        <f t="shared" si="1"/>
        <v>0</v>
      </c>
      <c r="J29" s="682"/>
      <c r="K29" s="130"/>
      <c r="L29" s="685">
        <f t="shared" si="9"/>
        <v>0</v>
      </c>
      <c r="M29" s="130"/>
      <c r="N29" s="685">
        <f t="shared" si="3"/>
        <v>0</v>
      </c>
      <c r="O29" s="685">
        <f t="shared" si="4"/>
        <v>0</v>
      </c>
      <c r="P29" s="652"/>
    </row>
    <row r="30" spans="2:16">
      <c r="B30" t="str">
        <f t="shared" si="0"/>
        <v/>
      </c>
      <c r="C30" s="678">
        <f>IF(D11="","-",+C29+1)</f>
        <v>2035</v>
      </c>
      <c r="D30" s="681">
        <f>IF(F29+SUM(E$17:E29)=D$10,F29,D$10-SUM(E$17:E29))</f>
        <v>2391112.8603649405</v>
      </c>
      <c r="E30" s="69">
        <f t="shared" si="5"/>
        <v>118195.78818181818</v>
      </c>
      <c r="F30" s="681">
        <f t="shared" si="6"/>
        <v>2272917.0721831224</v>
      </c>
      <c r="G30" s="686">
        <f t="shared" si="7"/>
        <v>385814.9664224463</v>
      </c>
      <c r="H30" s="677">
        <f t="shared" si="8"/>
        <v>385814.9664224463</v>
      </c>
      <c r="I30" s="682">
        <f t="shared" si="1"/>
        <v>0</v>
      </c>
      <c r="J30" s="682"/>
      <c r="K30" s="130"/>
      <c r="L30" s="685">
        <f t="shared" si="9"/>
        <v>0</v>
      </c>
      <c r="M30" s="130"/>
      <c r="N30" s="685">
        <f t="shared" si="3"/>
        <v>0</v>
      </c>
      <c r="O30" s="685">
        <f t="shared" si="4"/>
        <v>0</v>
      </c>
      <c r="P30" s="652"/>
    </row>
    <row r="31" spans="2:16">
      <c r="B31" t="str">
        <f t="shared" si="0"/>
        <v/>
      </c>
      <c r="C31" s="678">
        <f>IF(D11="","-",+C30+1)</f>
        <v>2036</v>
      </c>
      <c r="D31" s="681">
        <f>IF(F30+SUM(E$17:E30)=D$10,F30,D$10-SUM(E$17:E30))</f>
        <v>2272917.0721831224</v>
      </c>
      <c r="E31" s="69">
        <f t="shared" si="5"/>
        <v>118195.78818181818</v>
      </c>
      <c r="F31" s="681">
        <f t="shared" si="6"/>
        <v>2154721.2840013043</v>
      </c>
      <c r="G31" s="686">
        <f t="shared" si="7"/>
        <v>372250.96269083198</v>
      </c>
      <c r="H31" s="677">
        <f t="shared" si="8"/>
        <v>372250.96269083198</v>
      </c>
      <c r="I31" s="682">
        <f t="shared" si="1"/>
        <v>0</v>
      </c>
      <c r="J31" s="682"/>
      <c r="K31" s="130"/>
      <c r="L31" s="685">
        <f t="shared" si="9"/>
        <v>0</v>
      </c>
      <c r="M31" s="130"/>
      <c r="N31" s="685">
        <f t="shared" si="3"/>
        <v>0</v>
      </c>
      <c r="O31" s="685">
        <f t="shared" si="4"/>
        <v>0</v>
      </c>
      <c r="P31" s="652"/>
    </row>
    <row r="32" spans="2:16">
      <c r="B32" t="str">
        <f t="shared" si="0"/>
        <v/>
      </c>
      <c r="C32" s="678">
        <f>IF(D11="","-",+C31+1)</f>
        <v>2037</v>
      </c>
      <c r="D32" s="681">
        <f>IF(F31+SUM(E$17:E31)=D$10,F31,D$10-SUM(E$17:E31))</f>
        <v>2154721.2840013043</v>
      </c>
      <c r="E32" s="69">
        <f t="shared" si="5"/>
        <v>118195.78818181818</v>
      </c>
      <c r="F32" s="681">
        <f t="shared" si="6"/>
        <v>2036525.4958194862</v>
      </c>
      <c r="G32" s="686">
        <f t="shared" si="7"/>
        <v>358686.95895921765</v>
      </c>
      <c r="H32" s="677">
        <f t="shared" si="8"/>
        <v>358686.95895921765</v>
      </c>
      <c r="I32" s="682">
        <f t="shared" si="1"/>
        <v>0</v>
      </c>
      <c r="J32" s="682"/>
      <c r="K32" s="130"/>
      <c r="L32" s="685">
        <f t="shared" si="9"/>
        <v>0</v>
      </c>
      <c r="M32" s="130"/>
      <c r="N32" s="685">
        <f t="shared" si="3"/>
        <v>0</v>
      </c>
      <c r="O32" s="685">
        <f t="shared" si="4"/>
        <v>0</v>
      </c>
      <c r="P32" s="652"/>
    </row>
    <row r="33" spans="2:16">
      <c r="B33" t="str">
        <f t="shared" si="0"/>
        <v/>
      </c>
      <c r="C33" s="678">
        <f>IF(D11="","-",+C32+1)</f>
        <v>2038</v>
      </c>
      <c r="D33" s="681">
        <f>IF(F32+SUM(E$17:E32)=D$10,F32,D$10-SUM(E$17:E32))</f>
        <v>2036525.4958194862</v>
      </c>
      <c r="E33" s="69">
        <f t="shared" si="5"/>
        <v>118195.78818181818</v>
      </c>
      <c r="F33" s="681">
        <f t="shared" si="6"/>
        <v>1918329.7076376681</v>
      </c>
      <c r="G33" s="686">
        <f t="shared" si="7"/>
        <v>345122.9552276032</v>
      </c>
      <c r="H33" s="677">
        <f t="shared" si="8"/>
        <v>345122.9552276032</v>
      </c>
      <c r="I33" s="682">
        <f t="shared" si="1"/>
        <v>0</v>
      </c>
      <c r="J33" s="682"/>
      <c r="K33" s="130"/>
      <c r="L33" s="685">
        <f t="shared" si="9"/>
        <v>0</v>
      </c>
      <c r="M33" s="130"/>
      <c r="N33" s="685">
        <f t="shared" si="3"/>
        <v>0</v>
      </c>
      <c r="O33" s="685">
        <f t="shared" si="4"/>
        <v>0</v>
      </c>
      <c r="P33" s="652"/>
    </row>
    <row r="34" spans="2:16">
      <c r="B34" t="str">
        <f t="shared" si="0"/>
        <v/>
      </c>
      <c r="C34" s="678">
        <f>IF(D11="","-",+C33+1)</f>
        <v>2039</v>
      </c>
      <c r="D34" s="681">
        <f>IF(F33+SUM(E$17:E33)=D$10,F33,D$10-SUM(E$17:E33))</f>
        <v>1918329.7076376681</v>
      </c>
      <c r="E34" s="69">
        <f t="shared" si="5"/>
        <v>118195.78818181818</v>
      </c>
      <c r="F34" s="681">
        <f t="shared" si="6"/>
        <v>1800133.91945585</v>
      </c>
      <c r="G34" s="686">
        <f t="shared" si="7"/>
        <v>331558.95149598888</v>
      </c>
      <c r="H34" s="677">
        <f t="shared" si="8"/>
        <v>331558.95149598888</v>
      </c>
      <c r="I34" s="682">
        <f t="shared" si="1"/>
        <v>0</v>
      </c>
      <c r="J34" s="682"/>
      <c r="K34" s="130"/>
      <c r="L34" s="685">
        <f t="shared" si="9"/>
        <v>0</v>
      </c>
      <c r="M34" s="130"/>
      <c r="N34" s="685">
        <f t="shared" si="3"/>
        <v>0</v>
      </c>
      <c r="O34" s="685">
        <f t="shared" si="4"/>
        <v>0</v>
      </c>
      <c r="P34" s="652"/>
    </row>
    <row r="35" spans="2:16">
      <c r="B35" t="str">
        <f t="shared" si="0"/>
        <v/>
      </c>
      <c r="C35" s="678">
        <f>IF(D11="","-",+C34+1)</f>
        <v>2040</v>
      </c>
      <c r="D35" s="681">
        <f>IF(F34+SUM(E$17:E34)=D$10,F34,D$10-SUM(E$17:E34))</f>
        <v>1800133.91945585</v>
      </c>
      <c r="E35" s="69">
        <f t="shared" si="5"/>
        <v>118195.78818181818</v>
      </c>
      <c r="F35" s="681">
        <f t="shared" si="6"/>
        <v>1681938.1312740319</v>
      </c>
      <c r="G35" s="686">
        <f t="shared" si="7"/>
        <v>317994.94776437455</v>
      </c>
      <c r="H35" s="677">
        <f t="shared" si="8"/>
        <v>317994.94776437455</v>
      </c>
      <c r="I35" s="682">
        <f t="shared" si="1"/>
        <v>0</v>
      </c>
      <c r="J35" s="682"/>
      <c r="K35" s="130"/>
      <c r="L35" s="685">
        <f t="shared" si="9"/>
        <v>0</v>
      </c>
      <c r="M35" s="130"/>
      <c r="N35" s="685">
        <f t="shared" si="3"/>
        <v>0</v>
      </c>
      <c r="O35" s="685">
        <f t="shared" si="4"/>
        <v>0</v>
      </c>
      <c r="P35" s="652"/>
    </row>
    <row r="36" spans="2:16">
      <c r="B36" t="str">
        <f t="shared" si="0"/>
        <v/>
      </c>
      <c r="C36" s="678">
        <f>IF(D11="","-",+C35+1)</f>
        <v>2041</v>
      </c>
      <c r="D36" s="681">
        <f>IF(F35+SUM(E$17:E35)=D$10,F35,D$10-SUM(E$17:E35))</f>
        <v>1681938.1312740319</v>
      </c>
      <c r="E36" s="69">
        <f t="shared" si="5"/>
        <v>118195.78818181818</v>
      </c>
      <c r="F36" s="681">
        <f t="shared" si="6"/>
        <v>1563742.3430922139</v>
      </c>
      <c r="G36" s="686">
        <f t="shared" si="7"/>
        <v>304430.94403276016</v>
      </c>
      <c r="H36" s="677">
        <f t="shared" si="8"/>
        <v>304430.94403276016</v>
      </c>
      <c r="I36" s="682">
        <f t="shared" si="1"/>
        <v>0</v>
      </c>
      <c r="J36" s="682"/>
      <c r="K36" s="130"/>
      <c r="L36" s="685">
        <f t="shared" si="9"/>
        <v>0</v>
      </c>
      <c r="M36" s="130"/>
      <c r="N36" s="685">
        <f t="shared" si="3"/>
        <v>0</v>
      </c>
      <c r="O36" s="685">
        <f t="shared" si="4"/>
        <v>0</v>
      </c>
      <c r="P36" s="652"/>
    </row>
    <row r="37" spans="2:16">
      <c r="B37" t="str">
        <f t="shared" si="0"/>
        <v/>
      </c>
      <c r="C37" s="678">
        <f>IF(D11="","-",+C36+1)</f>
        <v>2042</v>
      </c>
      <c r="D37" s="681">
        <f>IF(F36+SUM(E$17:E36)=D$10,F36,D$10-SUM(E$17:E36))</f>
        <v>1563742.3430922139</v>
      </c>
      <c r="E37" s="69">
        <f t="shared" si="5"/>
        <v>118195.78818181818</v>
      </c>
      <c r="F37" s="681">
        <f t="shared" si="6"/>
        <v>1445546.5549103958</v>
      </c>
      <c r="G37" s="686">
        <f t="shared" si="7"/>
        <v>290866.94030114578</v>
      </c>
      <c r="H37" s="677">
        <f t="shared" si="8"/>
        <v>290866.94030114578</v>
      </c>
      <c r="I37" s="682">
        <f t="shared" si="1"/>
        <v>0</v>
      </c>
      <c r="J37" s="682"/>
      <c r="K37" s="130"/>
      <c r="L37" s="685">
        <f t="shared" si="9"/>
        <v>0</v>
      </c>
      <c r="M37" s="130"/>
      <c r="N37" s="685">
        <f t="shared" si="3"/>
        <v>0</v>
      </c>
      <c r="O37" s="685">
        <f t="shared" si="4"/>
        <v>0</v>
      </c>
      <c r="P37" s="652"/>
    </row>
    <row r="38" spans="2:16">
      <c r="B38" t="str">
        <f t="shared" si="0"/>
        <v/>
      </c>
      <c r="C38" s="678">
        <f>IF(D11="","-",+C37+1)</f>
        <v>2043</v>
      </c>
      <c r="D38" s="681">
        <f>IF(F37+SUM(E$17:E37)=D$10,F37,D$10-SUM(E$17:E37))</f>
        <v>1445546.5549103958</v>
      </c>
      <c r="E38" s="69">
        <f t="shared" si="5"/>
        <v>118195.78818181818</v>
      </c>
      <c r="F38" s="681">
        <f t="shared" si="6"/>
        <v>1327350.7667285777</v>
      </c>
      <c r="G38" s="686">
        <f t="shared" si="7"/>
        <v>277302.93656953145</v>
      </c>
      <c r="H38" s="677">
        <f t="shared" si="8"/>
        <v>277302.93656953145</v>
      </c>
      <c r="I38" s="682">
        <f t="shared" si="1"/>
        <v>0</v>
      </c>
      <c r="J38" s="682"/>
      <c r="K38" s="130"/>
      <c r="L38" s="685">
        <f t="shared" si="9"/>
        <v>0</v>
      </c>
      <c r="M38" s="130"/>
      <c r="N38" s="685">
        <f t="shared" si="3"/>
        <v>0</v>
      </c>
      <c r="O38" s="685">
        <f t="shared" si="4"/>
        <v>0</v>
      </c>
      <c r="P38" s="652"/>
    </row>
    <row r="39" spans="2:16">
      <c r="B39" t="str">
        <f t="shared" si="0"/>
        <v/>
      </c>
      <c r="C39" s="678">
        <f>IF(D11="","-",+C38+1)</f>
        <v>2044</v>
      </c>
      <c r="D39" s="681">
        <f>IF(F38+SUM(E$17:E38)=D$10,F38,D$10-SUM(E$17:E38))</f>
        <v>1327350.7667285777</v>
      </c>
      <c r="E39" s="69">
        <f t="shared" si="5"/>
        <v>118195.78818181818</v>
      </c>
      <c r="F39" s="681">
        <f t="shared" si="6"/>
        <v>1209154.9785467596</v>
      </c>
      <c r="G39" s="686">
        <f t="shared" si="7"/>
        <v>263738.93283791706</v>
      </c>
      <c r="H39" s="677">
        <f t="shared" si="8"/>
        <v>263738.93283791706</v>
      </c>
      <c r="I39" s="682">
        <f t="shared" si="1"/>
        <v>0</v>
      </c>
      <c r="J39" s="682"/>
      <c r="K39" s="130"/>
      <c r="L39" s="685">
        <f t="shared" si="9"/>
        <v>0</v>
      </c>
      <c r="M39" s="130"/>
      <c r="N39" s="685">
        <f t="shared" si="3"/>
        <v>0</v>
      </c>
      <c r="O39" s="685">
        <f t="shared" si="4"/>
        <v>0</v>
      </c>
      <c r="P39" s="652"/>
    </row>
    <row r="40" spans="2:16">
      <c r="B40" t="str">
        <f t="shared" si="0"/>
        <v/>
      </c>
      <c r="C40" s="678">
        <f>IF(D11="","-",+C39+1)</f>
        <v>2045</v>
      </c>
      <c r="D40" s="681">
        <f>IF(F39+SUM(E$17:E39)=D$10,F39,D$10-SUM(E$17:E39))</f>
        <v>1209154.9785467596</v>
      </c>
      <c r="E40" s="69">
        <f t="shared" si="5"/>
        <v>118195.78818181818</v>
      </c>
      <c r="F40" s="681">
        <f t="shared" si="6"/>
        <v>1090959.1903649415</v>
      </c>
      <c r="G40" s="686">
        <f t="shared" si="7"/>
        <v>250174.9291063027</v>
      </c>
      <c r="H40" s="677">
        <f t="shared" si="8"/>
        <v>250174.9291063027</v>
      </c>
      <c r="I40" s="682">
        <f t="shared" si="1"/>
        <v>0</v>
      </c>
      <c r="J40" s="682"/>
      <c r="K40" s="130"/>
      <c r="L40" s="685">
        <f t="shared" si="9"/>
        <v>0</v>
      </c>
      <c r="M40" s="130"/>
      <c r="N40" s="685">
        <f t="shared" si="3"/>
        <v>0</v>
      </c>
      <c r="O40" s="685">
        <f t="shared" si="4"/>
        <v>0</v>
      </c>
      <c r="P40" s="652"/>
    </row>
    <row r="41" spans="2:16">
      <c r="B41" t="str">
        <f t="shared" si="0"/>
        <v/>
      </c>
      <c r="C41" s="678">
        <f>IF(D11="","-",+C40+1)</f>
        <v>2046</v>
      </c>
      <c r="D41" s="681">
        <f>IF(F40+SUM(E$17:E40)=D$10,F40,D$10-SUM(E$17:E40))</f>
        <v>1090959.1903649415</v>
      </c>
      <c r="E41" s="69">
        <f t="shared" si="5"/>
        <v>118195.78818181818</v>
      </c>
      <c r="F41" s="681">
        <f t="shared" si="6"/>
        <v>972763.40218312328</v>
      </c>
      <c r="G41" s="686">
        <f t="shared" si="7"/>
        <v>236610.92537468835</v>
      </c>
      <c r="H41" s="677">
        <f t="shared" si="8"/>
        <v>236610.92537468835</v>
      </c>
      <c r="I41" s="682">
        <f t="shared" si="1"/>
        <v>0</v>
      </c>
      <c r="J41" s="682"/>
      <c r="K41" s="130"/>
      <c r="L41" s="685">
        <f t="shared" si="9"/>
        <v>0</v>
      </c>
      <c r="M41" s="130"/>
      <c r="N41" s="685">
        <f t="shared" si="3"/>
        <v>0</v>
      </c>
      <c r="O41" s="685">
        <f t="shared" si="4"/>
        <v>0</v>
      </c>
      <c r="P41" s="652"/>
    </row>
    <row r="42" spans="2:16">
      <c r="B42" t="str">
        <f t="shared" si="0"/>
        <v/>
      </c>
      <c r="C42" s="678">
        <f>IF(D11="","-",+C41+1)</f>
        <v>2047</v>
      </c>
      <c r="D42" s="681">
        <f>IF(F41+SUM(E$17:E41)=D$10,F41,D$10-SUM(E$17:E41))</f>
        <v>972763.40218312328</v>
      </c>
      <c r="E42" s="69">
        <f t="shared" si="5"/>
        <v>118195.78818181818</v>
      </c>
      <c r="F42" s="681">
        <f t="shared" si="6"/>
        <v>854567.61400130508</v>
      </c>
      <c r="G42" s="686">
        <f t="shared" si="7"/>
        <v>223046.92164307396</v>
      </c>
      <c r="H42" s="677">
        <f t="shared" si="8"/>
        <v>223046.92164307396</v>
      </c>
      <c r="I42" s="682">
        <f t="shared" si="1"/>
        <v>0</v>
      </c>
      <c r="J42" s="682"/>
      <c r="K42" s="130"/>
      <c r="L42" s="685">
        <f t="shared" si="9"/>
        <v>0</v>
      </c>
      <c r="M42" s="130"/>
      <c r="N42" s="685">
        <f t="shared" si="3"/>
        <v>0</v>
      </c>
      <c r="O42" s="685">
        <f t="shared" si="4"/>
        <v>0</v>
      </c>
      <c r="P42" s="652"/>
    </row>
    <row r="43" spans="2:16">
      <c r="B43" t="str">
        <f t="shared" si="0"/>
        <v/>
      </c>
      <c r="C43" s="678">
        <f>IF(D11="","-",+C42+1)</f>
        <v>2048</v>
      </c>
      <c r="D43" s="681">
        <f>IF(F42+SUM(E$17:E42)=D$10,F42,D$10-SUM(E$17:E42))</f>
        <v>854567.61400130508</v>
      </c>
      <c r="E43" s="69">
        <f t="shared" si="5"/>
        <v>118195.78818181818</v>
      </c>
      <c r="F43" s="681">
        <f t="shared" si="6"/>
        <v>736371.82581948687</v>
      </c>
      <c r="G43" s="686">
        <f t="shared" si="7"/>
        <v>209482.91791145958</v>
      </c>
      <c r="H43" s="677">
        <f t="shared" si="8"/>
        <v>209482.91791145958</v>
      </c>
      <c r="I43" s="682">
        <f t="shared" si="1"/>
        <v>0</v>
      </c>
      <c r="J43" s="682"/>
      <c r="K43" s="130"/>
      <c r="L43" s="685">
        <f t="shared" si="9"/>
        <v>0</v>
      </c>
      <c r="M43" s="130"/>
      <c r="N43" s="685">
        <f t="shared" si="3"/>
        <v>0</v>
      </c>
      <c r="O43" s="685">
        <f t="shared" si="4"/>
        <v>0</v>
      </c>
      <c r="P43" s="652"/>
    </row>
    <row r="44" spans="2:16">
      <c r="B44" t="str">
        <f t="shared" si="0"/>
        <v/>
      </c>
      <c r="C44" s="678">
        <f>IF(D11="","-",+C43+1)</f>
        <v>2049</v>
      </c>
      <c r="D44" s="681">
        <f>IF(F43+SUM(E$17:E43)=D$10,F43,D$10-SUM(E$17:E43))</f>
        <v>736371.82581948687</v>
      </c>
      <c r="E44" s="69">
        <f t="shared" si="5"/>
        <v>118195.78818181818</v>
      </c>
      <c r="F44" s="681">
        <f t="shared" si="6"/>
        <v>618176.03763766866</v>
      </c>
      <c r="G44" s="686">
        <f t="shared" si="7"/>
        <v>195918.91417984519</v>
      </c>
      <c r="H44" s="677">
        <f t="shared" si="8"/>
        <v>195918.91417984519</v>
      </c>
      <c r="I44" s="682">
        <f t="shared" si="1"/>
        <v>0</v>
      </c>
      <c r="J44" s="682"/>
      <c r="K44" s="130"/>
      <c r="L44" s="685">
        <f t="shared" si="9"/>
        <v>0</v>
      </c>
      <c r="M44" s="130"/>
      <c r="N44" s="685">
        <f t="shared" si="3"/>
        <v>0</v>
      </c>
      <c r="O44" s="685">
        <f t="shared" si="4"/>
        <v>0</v>
      </c>
      <c r="P44" s="652"/>
    </row>
    <row r="45" spans="2:16">
      <c r="B45" t="str">
        <f t="shared" si="0"/>
        <v/>
      </c>
      <c r="C45" s="678">
        <f>IF(D11="","-",+C44+1)</f>
        <v>2050</v>
      </c>
      <c r="D45" s="681">
        <f>IF(F44+SUM(E$17:E44)=D$10,F44,D$10-SUM(E$17:E44))</f>
        <v>618176.03763766866</v>
      </c>
      <c r="E45" s="69">
        <f t="shared" si="5"/>
        <v>118195.78818181818</v>
      </c>
      <c r="F45" s="681">
        <f t="shared" si="6"/>
        <v>499980.24945585045</v>
      </c>
      <c r="G45" s="686">
        <f t="shared" si="7"/>
        <v>182354.91044823083</v>
      </c>
      <c r="H45" s="677">
        <f t="shared" si="8"/>
        <v>182354.91044823083</v>
      </c>
      <c r="I45" s="682">
        <f t="shared" si="1"/>
        <v>0</v>
      </c>
      <c r="J45" s="682"/>
      <c r="K45" s="130"/>
      <c r="L45" s="685">
        <f t="shared" si="9"/>
        <v>0</v>
      </c>
      <c r="M45" s="130"/>
      <c r="N45" s="685">
        <f t="shared" si="3"/>
        <v>0</v>
      </c>
      <c r="O45" s="685">
        <f t="shared" si="4"/>
        <v>0</v>
      </c>
      <c r="P45" s="652"/>
    </row>
    <row r="46" spans="2:16">
      <c r="B46" t="str">
        <f t="shared" si="0"/>
        <v/>
      </c>
      <c r="C46" s="678">
        <f>IF(D11="","-",+C45+1)</f>
        <v>2051</v>
      </c>
      <c r="D46" s="681">
        <f>IF(F45+SUM(E$17:E45)=D$10,F45,D$10-SUM(E$17:E45))</f>
        <v>499980.24945585045</v>
      </c>
      <c r="E46" s="69">
        <f t="shared" si="5"/>
        <v>118195.78818181818</v>
      </c>
      <c r="F46" s="681">
        <f t="shared" si="6"/>
        <v>381784.46127403225</v>
      </c>
      <c r="G46" s="686">
        <f t="shared" si="7"/>
        <v>168790.90671661645</v>
      </c>
      <c r="H46" s="677">
        <f t="shared" si="8"/>
        <v>168790.90671661645</v>
      </c>
      <c r="I46" s="682">
        <f t="shared" si="1"/>
        <v>0</v>
      </c>
      <c r="J46" s="682"/>
      <c r="K46" s="130"/>
      <c r="L46" s="685">
        <f t="shared" si="9"/>
        <v>0</v>
      </c>
      <c r="M46" s="130"/>
      <c r="N46" s="685">
        <f t="shared" si="3"/>
        <v>0</v>
      </c>
      <c r="O46" s="685">
        <f t="shared" si="4"/>
        <v>0</v>
      </c>
      <c r="P46" s="652"/>
    </row>
    <row r="47" spans="2:16">
      <c r="B47" t="str">
        <f t="shared" si="0"/>
        <v/>
      </c>
      <c r="C47" s="678">
        <f>IF(D11="","-",+C46+1)</f>
        <v>2052</v>
      </c>
      <c r="D47" s="681">
        <f>IF(F46+SUM(E$17:E46)=D$10,F46,D$10-SUM(E$17:E46))</f>
        <v>381784.46127403225</v>
      </c>
      <c r="E47" s="69">
        <f t="shared" si="5"/>
        <v>118195.78818181818</v>
      </c>
      <c r="F47" s="681">
        <f t="shared" si="6"/>
        <v>263588.67309221404</v>
      </c>
      <c r="G47" s="686">
        <f t="shared" si="7"/>
        <v>155226.90298500206</v>
      </c>
      <c r="H47" s="677">
        <f t="shared" si="8"/>
        <v>155226.90298500206</v>
      </c>
      <c r="I47" s="682">
        <f t="shared" si="1"/>
        <v>0</v>
      </c>
      <c r="J47" s="682"/>
      <c r="K47" s="130"/>
      <c r="L47" s="685">
        <f t="shared" si="9"/>
        <v>0</v>
      </c>
      <c r="M47" s="130"/>
      <c r="N47" s="685">
        <f t="shared" si="3"/>
        <v>0</v>
      </c>
      <c r="O47" s="685">
        <f t="shared" si="4"/>
        <v>0</v>
      </c>
      <c r="P47" s="652"/>
    </row>
    <row r="48" spans="2:16">
      <c r="B48" t="str">
        <f t="shared" si="0"/>
        <v/>
      </c>
      <c r="C48" s="678">
        <f>IF(D11="","-",+C47+1)</f>
        <v>2053</v>
      </c>
      <c r="D48" s="681">
        <f>IF(F47+SUM(E$17:E47)=D$10,F47,D$10-SUM(E$17:E47))</f>
        <v>263588.67309221404</v>
      </c>
      <c r="E48" s="69">
        <f t="shared" si="5"/>
        <v>118195.78818181818</v>
      </c>
      <c r="F48" s="681">
        <f t="shared" si="6"/>
        <v>145392.88491039586</v>
      </c>
      <c r="G48" s="686">
        <f t="shared" si="7"/>
        <v>141662.8992533877</v>
      </c>
      <c r="H48" s="677">
        <f t="shared" si="8"/>
        <v>141662.8992533877</v>
      </c>
      <c r="I48" s="682">
        <f t="shared" si="1"/>
        <v>0</v>
      </c>
      <c r="J48" s="682"/>
      <c r="K48" s="130"/>
      <c r="L48" s="685">
        <f t="shared" si="9"/>
        <v>0</v>
      </c>
      <c r="M48" s="130"/>
      <c r="N48" s="685">
        <f t="shared" si="3"/>
        <v>0</v>
      </c>
      <c r="O48" s="685">
        <f t="shared" si="4"/>
        <v>0</v>
      </c>
      <c r="P48" s="652"/>
    </row>
    <row r="49" spans="2:16">
      <c r="B49" t="str">
        <f t="shared" si="0"/>
        <v/>
      </c>
      <c r="C49" s="678">
        <f>IF(D11="","-",+C48+1)</f>
        <v>2054</v>
      </c>
      <c r="D49" s="681">
        <f>IF(F48+SUM(E$17:E48)=D$10,F48,D$10-SUM(E$17:E48))</f>
        <v>145392.88491039586</v>
      </c>
      <c r="E49" s="69">
        <f t="shared" si="5"/>
        <v>118195.78818181818</v>
      </c>
      <c r="F49" s="681">
        <f t="shared" si="6"/>
        <v>27197.096728577686</v>
      </c>
      <c r="G49" s="686">
        <f t="shared" si="7"/>
        <v>128098.89552177332</v>
      </c>
      <c r="H49" s="677">
        <f t="shared" si="8"/>
        <v>128098.89552177332</v>
      </c>
      <c r="I49" s="682">
        <f t="shared" si="1"/>
        <v>0</v>
      </c>
      <c r="J49" s="682"/>
      <c r="K49" s="130"/>
      <c r="L49" s="685">
        <f t="shared" si="9"/>
        <v>0</v>
      </c>
      <c r="M49" s="130"/>
      <c r="N49" s="685">
        <f t="shared" si="3"/>
        <v>0</v>
      </c>
      <c r="O49" s="685">
        <f t="shared" si="4"/>
        <v>0</v>
      </c>
      <c r="P49" s="652"/>
    </row>
    <row r="50" spans="2:16">
      <c r="B50" t="str">
        <f t="shared" si="0"/>
        <v/>
      </c>
      <c r="C50" s="678">
        <f>IF(D11="","-",+C49+1)</f>
        <v>2055</v>
      </c>
      <c r="D50" s="681">
        <f>IF(F49+SUM(E$17:E49)=D$10,F49,D$10-SUM(E$17:E49))</f>
        <v>27197.096728577686</v>
      </c>
      <c r="E50" s="69">
        <f t="shared" si="5"/>
        <v>27197.096728577686</v>
      </c>
      <c r="F50" s="681">
        <f t="shared" si="6"/>
        <v>0</v>
      </c>
      <c r="G50" s="686">
        <f t="shared" si="7"/>
        <v>28757.649465651662</v>
      </c>
      <c r="H50" s="677">
        <f t="shared" si="8"/>
        <v>28757.649465651662</v>
      </c>
      <c r="I50" s="682">
        <f t="shared" si="1"/>
        <v>0</v>
      </c>
      <c r="J50" s="682"/>
      <c r="K50" s="130"/>
      <c r="L50" s="685">
        <f t="shared" si="9"/>
        <v>0</v>
      </c>
      <c r="M50" s="130"/>
      <c r="N50" s="685">
        <f t="shared" si="3"/>
        <v>0</v>
      </c>
      <c r="O50" s="685">
        <f t="shared" si="4"/>
        <v>0</v>
      </c>
      <c r="P50" s="652"/>
    </row>
    <row r="51" spans="2:16">
      <c r="B51" t="str">
        <f t="shared" si="0"/>
        <v/>
      </c>
      <c r="C51" s="678">
        <f>IF(D11="","-",+C50+1)</f>
        <v>2056</v>
      </c>
      <c r="D51" s="681">
        <f>IF(F50+SUM(E$17:E50)=D$10,F50,D$10-SUM(E$17:E50))</f>
        <v>0</v>
      </c>
      <c r="E51" s="69">
        <f t="shared" si="5"/>
        <v>0</v>
      </c>
      <c r="F51" s="681">
        <f t="shared" si="6"/>
        <v>0</v>
      </c>
      <c r="G51" s="686">
        <f t="shared" si="7"/>
        <v>0</v>
      </c>
      <c r="H51" s="677">
        <f t="shared" si="8"/>
        <v>0</v>
      </c>
      <c r="I51" s="682">
        <f t="shared" si="1"/>
        <v>0</v>
      </c>
      <c r="J51" s="682"/>
      <c r="K51" s="130"/>
      <c r="L51" s="685">
        <f t="shared" si="9"/>
        <v>0</v>
      </c>
      <c r="M51" s="130"/>
      <c r="N51" s="685">
        <f t="shared" si="3"/>
        <v>0</v>
      </c>
      <c r="O51" s="685">
        <f t="shared" si="4"/>
        <v>0</v>
      </c>
      <c r="P51" s="652"/>
    </row>
    <row r="52" spans="2:16">
      <c r="B52" t="str">
        <f t="shared" si="0"/>
        <v/>
      </c>
      <c r="C52" s="678">
        <f>IF(D11="","-",+C51+1)</f>
        <v>2057</v>
      </c>
      <c r="D52" s="681">
        <f>IF(F51+SUM(E$17:E51)=D$10,F51,D$10-SUM(E$17:E51))</f>
        <v>0</v>
      </c>
      <c r="E52" s="69">
        <f t="shared" si="5"/>
        <v>0</v>
      </c>
      <c r="F52" s="681">
        <f t="shared" si="6"/>
        <v>0</v>
      </c>
      <c r="G52" s="686">
        <f t="shared" si="7"/>
        <v>0</v>
      </c>
      <c r="H52" s="677">
        <f t="shared" si="8"/>
        <v>0</v>
      </c>
      <c r="I52" s="682">
        <f t="shared" si="1"/>
        <v>0</v>
      </c>
      <c r="J52" s="682"/>
      <c r="K52" s="130"/>
      <c r="L52" s="685">
        <f t="shared" si="9"/>
        <v>0</v>
      </c>
      <c r="M52" s="130"/>
      <c r="N52" s="685">
        <f t="shared" si="3"/>
        <v>0</v>
      </c>
      <c r="O52" s="685">
        <f t="shared" si="4"/>
        <v>0</v>
      </c>
      <c r="P52" s="652"/>
    </row>
    <row r="53" spans="2:16">
      <c r="B53" t="str">
        <f t="shared" si="0"/>
        <v/>
      </c>
      <c r="C53" s="678">
        <f>IF(D11="","-",+C52+1)</f>
        <v>2058</v>
      </c>
      <c r="D53" s="681">
        <f>IF(F52+SUM(E$17:E52)=D$10,F52,D$10-SUM(E$17:E52))</f>
        <v>0</v>
      </c>
      <c r="E53" s="69">
        <f t="shared" si="5"/>
        <v>0</v>
      </c>
      <c r="F53" s="681">
        <f t="shared" si="6"/>
        <v>0</v>
      </c>
      <c r="G53" s="686">
        <f t="shared" si="7"/>
        <v>0</v>
      </c>
      <c r="H53" s="677">
        <f t="shared" si="8"/>
        <v>0</v>
      </c>
      <c r="I53" s="682">
        <f t="shared" si="1"/>
        <v>0</v>
      </c>
      <c r="J53" s="682"/>
      <c r="K53" s="130"/>
      <c r="L53" s="685">
        <f t="shared" si="9"/>
        <v>0</v>
      </c>
      <c r="M53" s="130"/>
      <c r="N53" s="685">
        <f t="shared" si="3"/>
        <v>0</v>
      </c>
      <c r="O53" s="685">
        <f t="shared" si="4"/>
        <v>0</v>
      </c>
      <c r="P53" s="652"/>
    </row>
    <row r="54" spans="2:16">
      <c r="B54" t="str">
        <f t="shared" si="0"/>
        <v/>
      </c>
      <c r="C54" s="678">
        <f>IF(D11="","-",+C53+1)</f>
        <v>2059</v>
      </c>
      <c r="D54" s="681">
        <f>IF(F53+SUM(E$17:E53)=D$10,F53,D$10-SUM(E$17:E53))</f>
        <v>0</v>
      </c>
      <c r="E54" s="69">
        <f t="shared" si="5"/>
        <v>0</v>
      </c>
      <c r="F54" s="681">
        <f t="shared" si="6"/>
        <v>0</v>
      </c>
      <c r="G54" s="686">
        <f t="shared" si="7"/>
        <v>0</v>
      </c>
      <c r="H54" s="677">
        <f t="shared" si="8"/>
        <v>0</v>
      </c>
      <c r="I54" s="682">
        <f t="shared" si="1"/>
        <v>0</v>
      </c>
      <c r="J54" s="682"/>
      <c r="K54" s="130"/>
      <c r="L54" s="685">
        <f t="shared" si="9"/>
        <v>0</v>
      </c>
      <c r="M54" s="130"/>
      <c r="N54" s="685">
        <f t="shared" si="3"/>
        <v>0</v>
      </c>
      <c r="O54" s="685">
        <f t="shared" si="4"/>
        <v>0</v>
      </c>
      <c r="P54" s="652"/>
    </row>
    <row r="55" spans="2:16">
      <c r="B55" t="str">
        <f t="shared" si="0"/>
        <v/>
      </c>
      <c r="C55" s="678">
        <f>IF(D11="","-",+C54+1)</f>
        <v>2060</v>
      </c>
      <c r="D55" s="681">
        <f>IF(F54+SUM(E$17:E54)=D$10,F54,D$10-SUM(E$17:E54))</f>
        <v>0</v>
      </c>
      <c r="E55" s="69">
        <f t="shared" si="5"/>
        <v>0</v>
      </c>
      <c r="F55" s="681">
        <f t="shared" si="6"/>
        <v>0</v>
      </c>
      <c r="G55" s="686">
        <f t="shared" si="7"/>
        <v>0</v>
      </c>
      <c r="H55" s="677">
        <f t="shared" si="8"/>
        <v>0</v>
      </c>
      <c r="I55" s="682">
        <f t="shared" si="1"/>
        <v>0</v>
      </c>
      <c r="J55" s="682"/>
      <c r="K55" s="130"/>
      <c r="L55" s="685">
        <f t="shared" si="9"/>
        <v>0</v>
      </c>
      <c r="M55" s="130"/>
      <c r="N55" s="685">
        <f t="shared" si="3"/>
        <v>0</v>
      </c>
      <c r="O55" s="685">
        <f t="shared" si="4"/>
        <v>0</v>
      </c>
      <c r="P55" s="652"/>
    </row>
    <row r="56" spans="2:16">
      <c r="B56" t="str">
        <f t="shared" si="0"/>
        <v/>
      </c>
      <c r="C56" s="678">
        <f>IF(D11="","-",+C55+1)</f>
        <v>2061</v>
      </c>
      <c r="D56" s="681">
        <f>IF(F55+SUM(E$17:E55)=D$10,F55,D$10-SUM(E$17:E55))</f>
        <v>0</v>
      </c>
      <c r="E56" s="69">
        <f t="shared" si="5"/>
        <v>0</v>
      </c>
      <c r="F56" s="681">
        <f t="shared" si="6"/>
        <v>0</v>
      </c>
      <c r="G56" s="686">
        <f t="shared" si="7"/>
        <v>0</v>
      </c>
      <c r="H56" s="677">
        <f t="shared" si="8"/>
        <v>0</v>
      </c>
      <c r="I56" s="682">
        <f t="shared" si="1"/>
        <v>0</v>
      </c>
      <c r="J56" s="682"/>
      <c r="K56" s="130"/>
      <c r="L56" s="685">
        <f t="shared" si="9"/>
        <v>0</v>
      </c>
      <c r="M56" s="130"/>
      <c r="N56" s="685">
        <f t="shared" si="3"/>
        <v>0</v>
      </c>
      <c r="O56" s="685">
        <f t="shared" si="4"/>
        <v>0</v>
      </c>
      <c r="P56" s="652"/>
    </row>
    <row r="57" spans="2:16">
      <c r="B57" t="str">
        <f t="shared" si="0"/>
        <v/>
      </c>
      <c r="C57" s="678">
        <f>IF(D11="","-",+C56+1)</f>
        <v>2062</v>
      </c>
      <c r="D57" s="681">
        <f>IF(F56+SUM(E$17:E56)=D$10,F56,D$10-SUM(E$17:E56))</f>
        <v>0</v>
      </c>
      <c r="E57" s="69">
        <f t="shared" si="5"/>
        <v>0</v>
      </c>
      <c r="F57" s="681">
        <f t="shared" si="6"/>
        <v>0</v>
      </c>
      <c r="G57" s="686">
        <f t="shared" si="7"/>
        <v>0</v>
      </c>
      <c r="H57" s="677">
        <f t="shared" si="8"/>
        <v>0</v>
      </c>
      <c r="I57" s="682">
        <f t="shared" si="1"/>
        <v>0</v>
      </c>
      <c r="J57" s="682"/>
      <c r="K57" s="130"/>
      <c r="L57" s="685">
        <f t="shared" si="9"/>
        <v>0</v>
      </c>
      <c r="M57" s="130"/>
      <c r="N57" s="685">
        <f t="shared" si="3"/>
        <v>0</v>
      </c>
      <c r="O57" s="685">
        <f t="shared" si="4"/>
        <v>0</v>
      </c>
      <c r="P57" s="652"/>
    </row>
    <row r="58" spans="2:16">
      <c r="B58" t="str">
        <f t="shared" si="0"/>
        <v/>
      </c>
      <c r="C58" s="678">
        <f>IF(D11="","-",+C57+1)</f>
        <v>2063</v>
      </c>
      <c r="D58" s="681">
        <f>IF(F57+SUM(E$17:E57)=D$10,F57,D$10-SUM(E$17:E57))</f>
        <v>0</v>
      </c>
      <c r="E58" s="69">
        <f t="shared" si="5"/>
        <v>0</v>
      </c>
      <c r="F58" s="681">
        <f t="shared" si="6"/>
        <v>0</v>
      </c>
      <c r="G58" s="686">
        <f t="shared" si="7"/>
        <v>0</v>
      </c>
      <c r="H58" s="677">
        <f t="shared" si="8"/>
        <v>0</v>
      </c>
      <c r="I58" s="682">
        <f t="shared" si="1"/>
        <v>0</v>
      </c>
      <c r="J58" s="682"/>
      <c r="K58" s="130"/>
      <c r="L58" s="685">
        <f t="shared" si="9"/>
        <v>0</v>
      </c>
      <c r="M58" s="130"/>
      <c r="N58" s="685">
        <f t="shared" si="3"/>
        <v>0</v>
      </c>
      <c r="O58" s="685">
        <f t="shared" si="4"/>
        <v>0</v>
      </c>
      <c r="P58" s="652"/>
    </row>
    <row r="59" spans="2:16">
      <c r="B59" t="str">
        <f t="shared" si="0"/>
        <v/>
      </c>
      <c r="C59" s="678">
        <f>IF(D11="","-",+C58+1)</f>
        <v>2064</v>
      </c>
      <c r="D59" s="681">
        <f>IF(F58+SUM(E$17:E58)=D$10,F58,D$10-SUM(E$17:E58))</f>
        <v>0</v>
      </c>
      <c r="E59" s="69">
        <f t="shared" si="5"/>
        <v>0</v>
      </c>
      <c r="F59" s="681">
        <f t="shared" si="6"/>
        <v>0</v>
      </c>
      <c r="G59" s="686">
        <f t="shared" si="7"/>
        <v>0</v>
      </c>
      <c r="H59" s="677">
        <f t="shared" si="8"/>
        <v>0</v>
      </c>
      <c r="I59" s="682">
        <f t="shared" si="1"/>
        <v>0</v>
      </c>
      <c r="J59" s="682"/>
      <c r="K59" s="130"/>
      <c r="L59" s="685">
        <f t="shared" si="9"/>
        <v>0</v>
      </c>
      <c r="M59" s="130"/>
      <c r="N59" s="685">
        <f t="shared" si="3"/>
        <v>0</v>
      </c>
      <c r="O59" s="685">
        <f t="shared" si="4"/>
        <v>0</v>
      </c>
      <c r="P59" s="652"/>
    </row>
    <row r="60" spans="2:16">
      <c r="B60" t="str">
        <f t="shared" si="0"/>
        <v/>
      </c>
      <c r="C60" s="678">
        <f>IF(D11="","-",+C59+1)</f>
        <v>2065</v>
      </c>
      <c r="D60" s="681">
        <f>IF(F59+SUM(E$17:E59)=D$10,F59,D$10-SUM(E$17:E59))</f>
        <v>0</v>
      </c>
      <c r="E60" s="69">
        <f t="shared" si="5"/>
        <v>0</v>
      </c>
      <c r="F60" s="681">
        <f t="shared" si="6"/>
        <v>0</v>
      </c>
      <c r="G60" s="686">
        <f t="shared" si="7"/>
        <v>0</v>
      </c>
      <c r="H60" s="677">
        <f t="shared" si="8"/>
        <v>0</v>
      </c>
      <c r="I60" s="682">
        <f t="shared" si="1"/>
        <v>0</v>
      </c>
      <c r="J60" s="682"/>
      <c r="K60" s="130"/>
      <c r="L60" s="685">
        <f t="shared" si="9"/>
        <v>0</v>
      </c>
      <c r="M60" s="130"/>
      <c r="N60" s="685">
        <f t="shared" si="3"/>
        <v>0</v>
      </c>
      <c r="O60" s="685">
        <f t="shared" si="4"/>
        <v>0</v>
      </c>
      <c r="P60" s="652"/>
    </row>
    <row r="61" spans="2:16">
      <c r="B61" t="str">
        <f t="shared" si="0"/>
        <v/>
      </c>
      <c r="C61" s="678">
        <f>IF(D11="","-",+C60+1)</f>
        <v>2066</v>
      </c>
      <c r="D61" s="681">
        <f>IF(F60+SUM(E$17:E60)=D$10,F60,D$10-SUM(E$17:E60))</f>
        <v>0</v>
      </c>
      <c r="E61" s="69">
        <f t="shared" si="5"/>
        <v>0</v>
      </c>
      <c r="F61" s="681">
        <f t="shared" si="6"/>
        <v>0</v>
      </c>
      <c r="G61" s="687">
        <f t="shared" si="7"/>
        <v>0</v>
      </c>
      <c r="H61" s="677">
        <f t="shared" si="8"/>
        <v>0</v>
      </c>
      <c r="I61" s="682">
        <f t="shared" si="1"/>
        <v>0</v>
      </c>
      <c r="J61" s="682"/>
      <c r="K61" s="130"/>
      <c r="L61" s="685">
        <f t="shared" si="9"/>
        <v>0</v>
      </c>
      <c r="M61" s="130"/>
      <c r="N61" s="685">
        <f t="shared" si="3"/>
        <v>0</v>
      </c>
      <c r="O61" s="685">
        <f t="shared" si="4"/>
        <v>0</v>
      </c>
      <c r="P61" s="652"/>
    </row>
    <row r="62" spans="2:16">
      <c r="B62" t="str">
        <f t="shared" si="0"/>
        <v/>
      </c>
      <c r="C62" s="678">
        <f>IF(D11="","-",+C61+1)</f>
        <v>2067</v>
      </c>
      <c r="D62" s="681">
        <f>IF(F61+SUM(E$17:E61)=D$10,F61,D$10-SUM(E$17:E61))</f>
        <v>0</v>
      </c>
      <c r="E62" s="69">
        <f t="shared" si="5"/>
        <v>0</v>
      </c>
      <c r="F62" s="681">
        <f t="shared" si="6"/>
        <v>0</v>
      </c>
      <c r="G62" s="687">
        <f t="shared" si="7"/>
        <v>0</v>
      </c>
      <c r="H62" s="677">
        <f t="shared" si="8"/>
        <v>0</v>
      </c>
      <c r="I62" s="682">
        <f t="shared" si="1"/>
        <v>0</v>
      </c>
      <c r="J62" s="682"/>
      <c r="K62" s="130"/>
      <c r="L62" s="685">
        <f t="shared" si="9"/>
        <v>0</v>
      </c>
      <c r="M62" s="130"/>
      <c r="N62" s="685">
        <f t="shared" si="3"/>
        <v>0</v>
      </c>
      <c r="O62" s="685">
        <f t="shared" si="4"/>
        <v>0</v>
      </c>
      <c r="P62" s="652"/>
    </row>
    <row r="63" spans="2:16">
      <c r="B63" t="str">
        <f t="shared" si="0"/>
        <v/>
      </c>
      <c r="C63" s="678">
        <f>IF(D11="","-",+C62+1)</f>
        <v>2068</v>
      </c>
      <c r="D63" s="681">
        <f>IF(F62+SUM(E$17:E62)=D$10,F62,D$10-SUM(E$17:E62))</f>
        <v>0</v>
      </c>
      <c r="E63" s="69">
        <f t="shared" si="5"/>
        <v>0</v>
      </c>
      <c r="F63" s="681">
        <f t="shared" si="6"/>
        <v>0</v>
      </c>
      <c r="G63" s="687">
        <f t="shared" si="7"/>
        <v>0</v>
      </c>
      <c r="H63" s="677">
        <f t="shared" si="8"/>
        <v>0</v>
      </c>
      <c r="I63" s="682">
        <f t="shared" si="1"/>
        <v>0</v>
      </c>
      <c r="J63" s="682"/>
      <c r="K63" s="130"/>
      <c r="L63" s="685">
        <f t="shared" si="9"/>
        <v>0</v>
      </c>
      <c r="M63" s="130"/>
      <c r="N63" s="685">
        <f t="shared" si="3"/>
        <v>0</v>
      </c>
      <c r="O63" s="685">
        <f t="shared" si="4"/>
        <v>0</v>
      </c>
      <c r="P63" s="652"/>
    </row>
    <row r="64" spans="2:16">
      <c r="B64" t="str">
        <f t="shared" si="0"/>
        <v/>
      </c>
      <c r="C64" s="678">
        <f>IF(D11="","-",+C63+1)</f>
        <v>2069</v>
      </c>
      <c r="D64" s="681">
        <f>IF(F63+SUM(E$17:E63)=D$10,F63,D$10-SUM(E$17:E63))</f>
        <v>0</v>
      </c>
      <c r="E64" s="69">
        <f t="shared" si="5"/>
        <v>0</v>
      </c>
      <c r="F64" s="681">
        <f t="shared" si="6"/>
        <v>0</v>
      </c>
      <c r="G64" s="687">
        <f t="shared" si="7"/>
        <v>0</v>
      </c>
      <c r="H64" s="677">
        <f t="shared" si="8"/>
        <v>0</v>
      </c>
      <c r="I64" s="682">
        <f t="shared" si="1"/>
        <v>0</v>
      </c>
      <c r="J64" s="682"/>
      <c r="K64" s="130"/>
      <c r="L64" s="685">
        <f t="shared" si="9"/>
        <v>0</v>
      </c>
      <c r="M64" s="130"/>
      <c r="N64" s="685">
        <f t="shared" si="3"/>
        <v>0</v>
      </c>
      <c r="O64" s="685">
        <f t="shared" si="4"/>
        <v>0</v>
      </c>
      <c r="P64" s="652"/>
    </row>
    <row r="65" spans="2:16">
      <c r="B65" t="str">
        <f t="shared" si="0"/>
        <v/>
      </c>
      <c r="C65" s="678">
        <f>IF(D11="","-",+C64+1)</f>
        <v>2070</v>
      </c>
      <c r="D65" s="681">
        <f>IF(F64+SUM(E$17:E64)=D$10,F64,D$10-SUM(E$17:E64))</f>
        <v>0</v>
      </c>
      <c r="E65" s="69">
        <f t="shared" si="5"/>
        <v>0</v>
      </c>
      <c r="F65" s="681">
        <f t="shared" si="6"/>
        <v>0</v>
      </c>
      <c r="G65" s="687">
        <f t="shared" si="7"/>
        <v>0</v>
      </c>
      <c r="H65" s="677">
        <f t="shared" si="8"/>
        <v>0</v>
      </c>
      <c r="I65" s="682">
        <f t="shared" si="1"/>
        <v>0</v>
      </c>
      <c r="J65" s="682"/>
      <c r="K65" s="130"/>
      <c r="L65" s="685">
        <f t="shared" si="9"/>
        <v>0</v>
      </c>
      <c r="M65" s="130"/>
      <c r="N65" s="685">
        <f t="shared" si="3"/>
        <v>0</v>
      </c>
      <c r="O65" s="685">
        <f t="shared" si="4"/>
        <v>0</v>
      </c>
      <c r="P65" s="652"/>
    </row>
    <row r="66" spans="2:16">
      <c r="B66" t="str">
        <f t="shared" si="0"/>
        <v/>
      </c>
      <c r="C66" s="678">
        <f>IF(D11="","-",+C65+1)</f>
        <v>2071</v>
      </c>
      <c r="D66" s="681">
        <f>IF(F65+SUM(E$17:E65)=D$10,F65,D$10-SUM(E$17:E65))</f>
        <v>0</v>
      </c>
      <c r="E66" s="69">
        <f t="shared" si="5"/>
        <v>0</v>
      </c>
      <c r="F66" s="681">
        <f t="shared" si="6"/>
        <v>0</v>
      </c>
      <c r="G66" s="687">
        <f t="shared" si="7"/>
        <v>0</v>
      </c>
      <c r="H66" s="677">
        <f t="shared" si="8"/>
        <v>0</v>
      </c>
      <c r="I66" s="682">
        <f t="shared" si="1"/>
        <v>0</v>
      </c>
      <c r="J66" s="682"/>
      <c r="K66" s="130"/>
      <c r="L66" s="685">
        <f t="shared" si="9"/>
        <v>0</v>
      </c>
      <c r="M66" s="130"/>
      <c r="N66" s="685">
        <f t="shared" si="3"/>
        <v>0</v>
      </c>
      <c r="O66" s="685">
        <f t="shared" si="4"/>
        <v>0</v>
      </c>
      <c r="P66" s="652"/>
    </row>
    <row r="67" spans="2:16">
      <c r="B67" t="str">
        <f t="shared" si="0"/>
        <v/>
      </c>
      <c r="C67" s="678">
        <f>IF(D11="","-",+C66+1)</f>
        <v>2072</v>
      </c>
      <c r="D67" s="681">
        <f>IF(F66+SUM(E$17:E66)=D$10,F66,D$10-SUM(E$17:E66))</f>
        <v>0</v>
      </c>
      <c r="E67" s="69">
        <f t="shared" si="5"/>
        <v>0</v>
      </c>
      <c r="F67" s="681">
        <f t="shared" si="6"/>
        <v>0</v>
      </c>
      <c r="G67" s="687">
        <f t="shared" si="7"/>
        <v>0</v>
      </c>
      <c r="H67" s="677">
        <f t="shared" si="8"/>
        <v>0</v>
      </c>
      <c r="I67" s="682">
        <f t="shared" si="1"/>
        <v>0</v>
      </c>
      <c r="J67" s="682"/>
      <c r="K67" s="130"/>
      <c r="L67" s="685">
        <f t="shared" si="9"/>
        <v>0</v>
      </c>
      <c r="M67" s="130"/>
      <c r="N67" s="685">
        <f t="shared" si="3"/>
        <v>0</v>
      </c>
      <c r="O67" s="685">
        <f t="shared" si="4"/>
        <v>0</v>
      </c>
      <c r="P67" s="652"/>
    </row>
    <row r="68" spans="2:16">
      <c r="B68" t="str">
        <f t="shared" si="0"/>
        <v/>
      </c>
      <c r="C68" s="678">
        <f>IF(D11="","-",+C67+1)</f>
        <v>2073</v>
      </c>
      <c r="D68" s="681">
        <f>IF(F67+SUM(E$17:E67)=D$10,F67,D$10-SUM(E$17:E67))</f>
        <v>0</v>
      </c>
      <c r="E68" s="69">
        <f t="shared" si="5"/>
        <v>0</v>
      </c>
      <c r="F68" s="681">
        <f t="shared" si="6"/>
        <v>0</v>
      </c>
      <c r="G68" s="687">
        <f t="shared" si="7"/>
        <v>0</v>
      </c>
      <c r="H68" s="677">
        <f t="shared" si="8"/>
        <v>0</v>
      </c>
      <c r="I68" s="682">
        <f t="shared" si="1"/>
        <v>0</v>
      </c>
      <c r="J68" s="682"/>
      <c r="K68" s="130"/>
      <c r="L68" s="685">
        <f t="shared" si="9"/>
        <v>0</v>
      </c>
      <c r="M68" s="130"/>
      <c r="N68" s="685">
        <f t="shared" si="3"/>
        <v>0</v>
      </c>
      <c r="O68" s="685">
        <f t="shared" si="4"/>
        <v>0</v>
      </c>
      <c r="P68" s="652"/>
    </row>
    <row r="69" spans="2:16">
      <c r="B69" t="str">
        <f t="shared" si="0"/>
        <v/>
      </c>
      <c r="C69" s="678">
        <f>IF(D11="","-",+C68+1)</f>
        <v>2074</v>
      </c>
      <c r="D69" s="681">
        <f>IF(F68+SUM(E$17:E68)=D$10,F68,D$10-SUM(E$17:E68))</f>
        <v>0</v>
      </c>
      <c r="E69" s="69">
        <f t="shared" si="5"/>
        <v>0</v>
      </c>
      <c r="F69" s="681">
        <f t="shared" si="6"/>
        <v>0</v>
      </c>
      <c r="G69" s="687">
        <f t="shared" si="7"/>
        <v>0</v>
      </c>
      <c r="H69" s="677">
        <f t="shared" si="8"/>
        <v>0</v>
      </c>
      <c r="I69" s="682">
        <f t="shared" si="1"/>
        <v>0</v>
      </c>
      <c r="J69" s="682"/>
      <c r="K69" s="130"/>
      <c r="L69" s="685">
        <f t="shared" si="9"/>
        <v>0</v>
      </c>
      <c r="M69" s="130"/>
      <c r="N69" s="685">
        <f t="shared" si="3"/>
        <v>0</v>
      </c>
      <c r="O69" s="685">
        <f t="shared" si="4"/>
        <v>0</v>
      </c>
      <c r="P69" s="652"/>
    </row>
    <row r="70" spans="2:16">
      <c r="B70" t="str">
        <f t="shared" si="0"/>
        <v/>
      </c>
      <c r="C70" s="678">
        <f>IF(D11="","-",+C69+1)</f>
        <v>2075</v>
      </c>
      <c r="D70" s="681">
        <f>IF(F69+SUM(E$17:E69)=D$10,F69,D$10-SUM(E$17:E69))</f>
        <v>0</v>
      </c>
      <c r="E70" s="69">
        <f t="shared" si="5"/>
        <v>0</v>
      </c>
      <c r="F70" s="681">
        <f t="shared" si="6"/>
        <v>0</v>
      </c>
      <c r="G70" s="687">
        <f t="shared" si="7"/>
        <v>0</v>
      </c>
      <c r="H70" s="677">
        <f t="shared" si="8"/>
        <v>0</v>
      </c>
      <c r="I70" s="682">
        <f t="shared" si="1"/>
        <v>0</v>
      </c>
      <c r="J70" s="682"/>
      <c r="K70" s="130"/>
      <c r="L70" s="685">
        <f t="shared" si="9"/>
        <v>0</v>
      </c>
      <c r="M70" s="130"/>
      <c r="N70" s="685">
        <f t="shared" si="3"/>
        <v>0</v>
      </c>
      <c r="O70" s="685">
        <f t="shared" si="4"/>
        <v>0</v>
      </c>
      <c r="P70" s="652"/>
    </row>
    <row r="71" spans="2:16">
      <c r="B71" t="str">
        <f t="shared" si="0"/>
        <v/>
      </c>
      <c r="C71" s="678">
        <f>IF(D11="","-",+C70+1)</f>
        <v>2076</v>
      </c>
      <c r="D71" s="681">
        <f>IF(F70+SUM(E$17:E70)=D$10,F70,D$10-SUM(E$17:E70))</f>
        <v>0</v>
      </c>
      <c r="E71" s="69">
        <f t="shared" si="5"/>
        <v>0</v>
      </c>
      <c r="F71" s="681">
        <f t="shared" si="6"/>
        <v>0</v>
      </c>
      <c r="G71" s="687">
        <f t="shared" si="7"/>
        <v>0</v>
      </c>
      <c r="H71" s="677">
        <f t="shared" si="8"/>
        <v>0</v>
      </c>
      <c r="I71" s="682">
        <f t="shared" si="1"/>
        <v>0</v>
      </c>
      <c r="J71" s="682"/>
      <c r="K71" s="130"/>
      <c r="L71" s="685">
        <f t="shared" si="9"/>
        <v>0</v>
      </c>
      <c r="M71" s="130"/>
      <c r="N71" s="685">
        <f t="shared" si="3"/>
        <v>0</v>
      </c>
      <c r="O71" s="685">
        <f t="shared" si="4"/>
        <v>0</v>
      </c>
      <c r="P71" s="652"/>
    </row>
    <row r="72" spans="2:16">
      <c r="C72" s="678">
        <f>IF(D12="","-",+C71+1)</f>
        <v>2077</v>
      </c>
      <c r="D72" s="681">
        <f>IF(F71+SUM(E$17:E71)=D$10,F71,D$10-SUM(E$17:E71))</f>
        <v>0</v>
      </c>
      <c r="E72" s="69">
        <f>IF(+I$14&lt;F71,I$14,D72)</f>
        <v>0</v>
      </c>
      <c r="F72" s="681">
        <f>+D72-E72</f>
        <v>0</v>
      </c>
      <c r="G72" s="687">
        <f>(D72+F72)/2*I$12+E72</f>
        <v>0</v>
      </c>
      <c r="H72" s="677">
        <f>+(D72+F72)/2*I$13+E72</f>
        <v>0</v>
      </c>
      <c r="I72" s="682">
        <f>H72-G72</f>
        <v>0</v>
      </c>
      <c r="J72" s="682"/>
      <c r="K72" s="130"/>
      <c r="L72" s="685">
        <f>IF(K72&lt;&gt;0,+G72-K72,0)</f>
        <v>0</v>
      </c>
      <c r="M72" s="130"/>
      <c r="N72" s="685">
        <f>IF(M72&lt;&gt;0,+H72-M72,0)</f>
        <v>0</v>
      </c>
      <c r="O72" s="685">
        <f>+N72-L72</f>
        <v>0</v>
      </c>
      <c r="P72" s="652"/>
    </row>
    <row r="73" spans="2:16" ht="13" thickBot="1">
      <c r="B73" t="str">
        <f>IF(D73=F71,"","IU")</f>
        <v/>
      </c>
      <c r="C73" s="688">
        <f>IF(D13="","-",+C72+1)</f>
        <v>2078</v>
      </c>
      <c r="D73" s="75">
        <f>IF(F72+SUM(E$17:E72)=D$10,F72,D$10-SUM(E$17:E72))</f>
        <v>0</v>
      </c>
      <c r="E73" s="75">
        <f>IF(+I$14&lt;F72,I$14,D73)</f>
        <v>0</v>
      </c>
      <c r="F73" s="689">
        <f>+D73-E73</f>
        <v>0</v>
      </c>
      <c r="G73" s="690">
        <f>(D73+F73)/2*I$12+E73</f>
        <v>0</v>
      </c>
      <c r="H73" s="664">
        <f>+(D73+F73)/2*I$13+E73</f>
        <v>0</v>
      </c>
      <c r="I73" s="691">
        <f>H73-G73</f>
        <v>0</v>
      </c>
      <c r="J73" s="682"/>
      <c r="K73" s="131"/>
      <c r="L73" s="692">
        <f>IF(K73&lt;&gt;0,+G73-K73,0)</f>
        <v>0</v>
      </c>
      <c r="M73" s="131"/>
      <c r="N73" s="692">
        <f>IF(M73&lt;&gt;0,+H73-M73,0)</f>
        <v>0</v>
      </c>
      <c r="O73" s="692">
        <f>+N73-L73</f>
        <v>0</v>
      </c>
      <c r="P73" s="652"/>
    </row>
    <row r="74" spans="2:16">
      <c r="C74" s="679" t="s">
        <v>75</v>
      </c>
      <c r="D74" s="659"/>
      <c r="E74" s="659">
        <f>SUM(E17:E73)</f>
        <v>3900461.01</v>
      </c>
      <c r="F74" s="659"/>
      <c r="G74" s="659">
        <f>SUM(G17:G73)</f>
        <v>11320290.816646405</v>
      </c>
      <c r="H74" s="659">
        <f>SUM(H17:H73)</f>
        <v>11320290.816646405</v>
      </c>
      <c r="I74" s="659">
        <f>SUM(I17:I73)</f>
        <v>0</v>
      </c>
      <c r="J74" s="659"/>
      <c r="K74" s="659"/>
      <c r="L74" s="659"/>
      <c r="M74" s="659"/>
      <c r="N74" s="659"/>
      <c r="O74" s="652"/>
      <c r="P74" s="652"/>
    </row>
    <row r="75" spans="2:16">
      <c r="D75" s="653"/>
      <c r="E75" s="652"/>
      <c r="F75" s="652"/>
      <c r="G75" s="652"/>
      <c r="H75" s="655"/>
      <c r="I75" s="655"/>
      <c r="J75" s="659"/>
      <c r="K75" s="655"/>
      <c r="L75" s="655"/>
      <c r="M75" s="655"/>
      <c r="N75" s="655"/>
      <c r="O75" s="652"/>
      <c r="P75" s="652"/>
    </row>
    <row r="76" spans="2:16" ht="13">
      <c r="C76" s="665" t="s">
        <v>95</v>
      </c>
      <c r="D76" s="653"/>
      <c r="E76" s="652"/>
      <c r="F76" s="652"/>
      <c r="G76" s="652"/>
      <c r="H76" s="655"/>
      <c r="I76" s="655"/>
      <c r="J76" s="659"/>
      <c r="K76" s="655"/>
      <c r="L76" s="655"/>
      <c r="M76" s="655"/>
      <c r="N76" s="655"/>
      <c r="O76" s="652"/>
      <c r="P76" s="652"/>
    </row>
    <row r="77" spans="2:16" ht="13">
      <c r="C77" s="662" t="s">
        <v>76</v>
      </c>
      <c r="D77" s="653"/>
      <c r="E77" s="652"/>
      <c r="F77" s="652"/>
      <c r="G77" s="652"/>
      <c r="H77" s="655"/>
      <c r="I77" s="655"/>
      <c r="J77" s="659"/>
      <c r="K77" s="655"/>
      <c r="L77" s="655"/>
      <c r="M77" s="655"/>
      <c r="N77" s="655"/>
      <c r="O77" s="652"/>
      <c r="P77" s="652"/>
    </row>
    <row r="78" spans="2:16" ht="13">
      <c r="C78" s="662" t="s">
        <v>77</v>
      </c>
      <c r="D78" s="679"/>
      <c r="E78" s="679"/>
      <c r="F78" s="679"/>
      <c r="G78" s="659"/>
      <c r="H78" s="659"/>
      <c r="I78" s="693"/>
      <c r="J78" s="693"/>
      <c r="K78" s="693"/>
      <c r="L78" s="693"/>
      <c r="M78" s="693"/>
      <c r="N78" s="693"/>
      <c r="O78" s="652"/>
      <c r="P78" s="652"/>
    </row>
    <row r="79" spans="2:16" ht="13">
      <c r="C79" s="662"/>
      <c r="D79" s="679"/>
      <c r="E79" s="679"/>
      <c r="F79" s="679"/>
      <c r="G79" s="659"/>
      <c r="H79" s="659"/>
      <c r="I79" s="693"/>
      <c r="J79" s="693"/>
      <c r="K79" s="693"/>
      <c r="L79" s="693"/>
      <c r="M79" s="693"/>
      <c r="N79" s="693"/>
      <c r="O79" s="652"/>
      <c r="P79" s="652"/>
    </row>
    <row r="80" spans="2:16">
      <c r="B80" s="652"/>
      <c r="C80" s="652"/>
      <c r="D80" s="653"/>
      <c r="E80" s="652"/>
      <c r="F80" s="679"/>
      <c r="G80" s="652"/>
      <c r="H80" s="655"/>
      <c r="I80" s="652"/>
      <c r="J80" s="652"/>
      <c r="K80" s="652"/>
      <c r="L80" s="652"/>
      <c r="M80" s="652"/>
      <c r="N80" s="652"/>
      <c r="O80" s="652"/>
      <c r="P80" s="652"/>
    </row>
    <row r="81" spans="1:16" ht="17.5">
      <c r="B81" s="652"/>
      <c r="C81" s="694"/>
      <c r="D81" s="653"/>
      <c r="E81" s="652"/>
      <c r="F81" s="679"/>
      <c r="G81" s="652"/>
      <c r="H81" s="655"/>
      <c r="I81" s="652"/>
      <c r="J81" s="652"/>
      <c r="K81" s="652"/>
      <c r="L81" s="652"/>
      <c r="M81" s="652"/>
      <c r="N81" s="652"/>
      <c r="P81" s="111" t="s">
        <v>128</v>
      </c>
    </row>
    <row r="82" spans="1:16">
      <c r="B82" s="652"/>
      <c r="C82" s="652"/>
      <c r="D82" s="653"/>
      <c r="E82" s="652"/>
      <c r="F82" s="679"/>
      <c r="G82" s="652"/>
      <c r="H82" s="655"/>
      <c r="I82" s="652"/>
      <c r="J82" s="652"/>
      <c r="K82" s="652"/>
      <c r="L82" s="652"/>
      <c r="M82" s="652"/>
      <c r="N82" s="652"/>
      <c r="O82" s="652"/>
      <c r="P82" s="652"/>
    </row>
    <row r="83" spans="1:16">
      <c r="B83" s="652"/>
      <c r="C83" s="652"/>
      <c r="D83" s="653"/>
      <c r="E83" s="652"/>
      <c r="F83" s="679"/>
      <c r="G83" s="652"/>
      <c r="H83" s="655"/>
      <c r="I83" s="652"/>
      <c r="J83" s="652"/>
      <c r="K83" s="652"/>
      <c r="L83" s="652"/>
      <c r="M83" s="652"/>
      <c r="N83" s="652"/>
      <c r="O83" s="652"/>
      <c r="P83" s="652"/>
    </row>
    <row r="84" spans="1:16" ht="20">
      <c r="A84" s="110" t="s">
        <v>190</v>
      </c>
      <c r="B84" s="652"/>
      <c r="C84" s="652"/>
      <c r="D84" s="653"/>
      <c r="E84" s="652"/>
      <c r="F84" s="654"/>
      <c r="G84" s="654"/>
      <c r="H84" s="652"/>
      <c r="I84" s="655"/>
      <c r="L84" s="18"/>
      <c r="M84" s="18"/>
      <c r="P84" s="18" t="str">
        <f>P1</f>
        <v>OKT Project 21 of 23</v>
      </c>
    </row>
    <row r="85" spans="1:16" ht="17.5">
      <c r="B85" s="652"/>
      <c r="C85" s="652"/>
      <c r="D85" s="653"/>
      <c r="E85" s="652"/>
      <c r="F85" s="652"/>
      <c r="G85" s="652"/>
      <c r="H85" s="652"/>
      <c r="I85" s="655"/>
      <c r="J85" s="652"/>
      <c r="K85" s="652"/>
      <c r="L85" s="652"/>
      <c r="M85" s="652"/>
      <c r="P85" s="117" t="s">
        <v>132</v>
      </c>
    </row>
    <row r="86" spans="1:16" ht="17.5" thickBot="1">
      <c r="B86" s="657" t="s">
        <v>42</v>
      </c>
      <c r="C86" s="695" t="s">
        <v>81</v>
      </c>
      <c r="D86" s="653"/>
      <c r="E86" s="652"/>
      <c r="F86" s="652"/>
      <c r="G86" s="652"/>
      <c r="H86" s="652"/>
      <c r="I86" s="655"/>
      <c r="J86" s="655"/>
      <c r="K86" s="659"/>
      <c r="L86" s="655"/>
      <c r="M86" s="655"/>
      <c r="N86" s="655"/>
      <c r="O86" s="659"/>
      <c r="P86" s="652"/>
    </row>
    <row r="87" spans="1:16" ht="16" thickBot="1">
      <c r="C87" s="660"/>
      <c r="D87" s="653"/>
      <c r="E87" s="652"/>
      <c r="F87" s="652"/>
      <c r="G87" s="652"/>
      <c r="H87" s="652"/>
      <c r="I87" s="655"/>
      <c r="J87" s="655"/>
      <c r="K87" s="659"/>
      <c r="L87" s="696">
        <f>+J93</f>
        <v>2023</v>
      </c>
      <c r="M87" s="697" t="s">
        <v>9</v>
      </c>
      <c r="N87" s="698" t="s">
        <v>134</v>
      </c>
      <c r="O87" s="699" t="s">
        <v>11</v>
      </c>
      <c r="P87" s="652"/>
    </row>
    <row r="88" spans="1:16" ht="15.5">
      <c r="C88" s="107" t="s">
        <v>44</v>
      </c>
      <c r="D88" s="653"/>
      <c r="E88" s="652"/>
      <c r="F88" s="652"/>
      <c r="G88" s="652"/>
      <c r="H88" s="21"/>
      <c r="I88" s="652" t="s">
        <v>45</v>
      </c>
      <c r="J88" s="652"/>
      <c r="K88" s="122"/>
      <c r="L88" s="700" t="s">
        <v>253</v>
      </c>
      <c r="M88" s="83">
        <f>IF(J93&lt;D11,0,VLOOKUP(J93,C17:O73,9))</f>
        <v>881618.42255373427</v>
      </c>
      <c r="N88" s="83">
        <f>IF(J93&lt;D11,0,VLOOKUP(J93,C17:O73,11))</f>
        <v>881618.42255373427</v>
      </c>
      <c r="O88" s="701">
        <f>+N88-M88</f>
        <v>0</v>
      </c>
      <c r="P88" s="652"/>
    </row>
    <row r="89" spans="1:16" ht="15.5">
      <c r="C89" s="8"/>
      <c r="D89" s="653"/>
      <c r="E89" s="652"/>
      <c r="F89" s="652"/>
      <c r="G89" s="652"/>
      <c r="H89" s="652"/>
      <c r="I89" s="26"/>
      <c r="J89" s="26"/>
      <c r="K89" s="124"/>
      <c r="L89" s="702" t="s">
        <v>254</v>
      </c>
      <c r="M89" s="85">
        <f>IF(J93&lt;D11,0,VLOOKUP(J93,C100:P155,6))</f>
        <v>619130.64383643377</v>
      </c>
      <c r="N89" s="85">
        <f>IF(J93&lt;D11,0,VLOOKUP(J93,C100:P155,7))</f>
        <v>619130.64383643377</v>
      </c>
      <c r="O89" s="703">
        <f>+N89-M89</f>
        <v>0</v>
      </c>
      <c r="P89" s="652"/>
    </row>
    <row r="90" spans="1:16" ht="13.5" thickBot="1">
      <c r="C90" s="662" t="s">
        <v>82</v>
      </c>
      <c r="D90" s="113" t="str">
        <f>+D7</f>
        <v>Tulsa SE - S Hudson 138 kV</v>
      </c>
      <c r="E90" s="652"/>
      <c r="F90" s="652"/>
      <c r="G90" s="652"/>
      <c r="H90" s="652"/>
      <c r="I90" s="655"/>
      <c r="J90" s="655"/>
      <c r="K90" s="126"/>
      <c r="L90" s="704" t="s">
        <v>135</v>
      </c>
      <c r="M90" s="88">
        <f>+M89-M88</f>
        <v>-262487.77871730051</v>
      </c>
      <c r="N90" s="88">
        <f>+N89-N88</f>
        <v>-262487.77871730051</v>
      </c>
      <c r="O90" s="89">
        <f>+O89-O88</f>
        <v>0</v>
      </c>
      <c r="P90" s="652"/>
    </row>
    <row r="91" spans="1:16" ht="13.5" thickBot="1">
      <c r="C91" s="665"/>
      <c r="D91" s="81" t="str">
        <f>IF(D8="","",D8)</f>
        <v/>
      </c>
      <c r="E91" s="679"/>
      <c r="F91" s="679"/>
      <c r="G91" s="679"/>
      <c r="H91" s="666"/>
      <c r="I91" s="655"/>
      <c r="J91" s="655"/>
      <c r="K91" s="659"/>
      <c r="L91" s="655"/>
      <c r="M91" s="655"/>
      <c r="N91" s="655"/>
      <c r="O91" s="659"/>
      <c r="P91" s="652"/>
    </row>
    <row r="92" spans="1:16" ht="13.5" thickBot="1">
      <c r="C92" s="705" t="s">
        <v>83</v>
      </c>
      <c r="D92" s="706" t="str">
        <f>+D9</f>
        <v>TP2020033</v>
      </c>
      <c r="E92" s="707"/>
      <c r="F92" s="707"/>
      <c r="G92" s="707"/>
      <c r="H92" s="707"/>
      <c r="I92" s="707"/>
      <c r="J92" s="707"/>
    </row>
    <row r="93" spans="1:16" ht="13">
      <c r="C93" s="672" t="s">
        <v>49</v>
      </c>
      <c r="D93" s="708">
        <f>D10</f>
        <v>3900461.01</v>
      </c>
      <c r="E93" s="652" t="s">
        <v>84</v>
      </c>
      <c r="H93" s="653"/>
      <c r="I93" s="653"/>
      <c r="J93" s="472">
        <f>+'OKT.WS.G.BPU.ATRR.True-up'!M16</f>
        <v>2023</v>
      </c>
      <c r="K93" s="671"/>
      <c r="L93" s="659" t="s">
        <v>85</v>
      </c>
      <c r="P93" s="652"/>
    </row>
    <row r="94" spans="1:16">
      <c r="C94" s="672" t="s">
        <v>52</v>
      </c>
      <c r="D94" s="709">
        <f>IF(D11="","",D11)</f>
        <v>2022</v>
      </c>
      <c r="E94" s="672" t="s">
        <v>53</v>
      </c>
      <c r="F94" s="653"/>
      <c r="G94" s="653"/>
      <c r="J94" s="674">
        <v>0</v>
      </c>
      <c r="K94" s="675"/>
      <c r="L94" t="str">
        <f>"          INPUT TRUE-UP ARR (WITH &amp; WITHOUT INCENTIVES) FROM EACH PRIOR YEAR"</f>
        <v xml:space="preserve">          INPUT TRUE-UP ARR (WITH &amp; WITHOUT INCENTIVES) FROM EACH PRIOR YEAR</v>
      </c>
      <c r="P94" s="652"/>
    </row>
    <row r="95" spans="1:16">
      <c r="C95" s="672" t="s">
        <v>54</v>
      </c>
      <c r="D95" s="709">
        <f>IF(D12="","",D12)</f>
        <v>6</v>
      </c>
      <c r="E95" s="672" t="s">
        <v>55</v>
      </c>
      <c r="F95" s="653"/>
      <c r="G95" s="653"/>
      <c r="J95" s="676">
        <v>0.11475877389767174</v>
      </c>
      <c r="K95" s="654"/>
      <c r="L95" t="s">
        <v>86</v>
      </c>
      <c r="P95" s="652"/>
    </row>
    <row r="96" spans="1:16">
      <c r="C96" s="672" t="s">
        <v>57</v>
      </c>
      <c r="D96" s="674">
        <v>21</v>
      </c>
      <c r="E96" s="672" t="s">
        <v>58</v>
      </c>
      <c r="F96" s="653"/>
      <c r="G96" s="653"/>
      <c r="J96" s="676">
        <v>0.11475877389767174</v>
      </c>
      <c r="K96" s="654"/>
      <c r="L96" s="659" t="s">
        <v>59</v>
      </c>
      <c r="M96" s="654"/>
      <c r="N96" s="654"/>
      <c r="O96" s="654"/>
      <c r="P96" s="652"/>
    </row>
    <row r="97" spans="1:16" ht="13" thickBot="1">
      <c r="C97" s="672" t="s">
        <v>60</v>
      </c>
      <c r="D97" s="710" t="str">
        <f>+D14</f>
        <v>No</v>
      </c>
      <c r="E97" s="711" t="s">
        <v>62</v>
      </c>
      <c r="F97" s="712"/>
      <c r="G97" s="712"/>
      <c r="H97" s="94"/>
      <c r="I97" s="94"/>
      <c r="J97" s="664">
        <f>IF(D93=0,0,D93/D96)</f>
        <v>185736.23857142855</v>
      </c>
      <c r="K97" s="659"/>
      <c r="L97" s="659"/>
      <c r="M97" s="659"/>
      <c r="N97" s="659"/>
      <c r="O97" s="659"/>
      <c r="P97" s="652"/>
    </row>
    <row r="98" spans="1:16" ht="39">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7" t="s">
        <v>93</v>
      </c>
      <c r="K99" s="55"/>
      <c r="L99" s="61" t="s">
        <v>74</v>
      </c>
      <c r="M99" s="61" t="s">
        <v>74</v>
      </c>
      <c r="N99" s="61" t="s">
        <v>94</v>
      </c>
      <c r="O99" s="61" t="s">
        <v>94</v>
      </c>
      <c r="P99" s="61" t="s">
        <v>94</v>
      </c>
    </row>
    <row r="100" spans="1:16">
      <c r="B100" t="str">
        <f t="shared" ref="B100:B155" si="10">IF(D100=F99,"","IU")</f>
        <v>IU</v>
      </c>
      <c r="C100" s="678">
        <f>IF(D94= "","-",D94)</f>
        <v>2022</v>
      </c>
      <c r="D100" s="721">
        <v>0</v>
      </c>
      <c r="E100" s="721">
        <v>31024.088650793652</v>
      </c>
      <c r="F100" s="721">
        <v>3878011.0813492062</v>
      </c>
      <c r="G100" s="721">
        <v>1939005.5406746031</v>
      </c>
      <c r="H100" s="721">
        <v>253541.98707940316</v>
      </c>
      <c r="I100" s="721">
        <v>253541.98707940316</v>
      </c>
      <c r="J100" s="685">
        <f t="shared" ref="J100:J131" si="11">+I100-H100</f>
        <v>0</v>
      </c>
      <c r="K100" s="685"/>
      <c r="L100" s="714">
        <f>+H100</f>
        <v>253541.98707940316</v>
      </c>
      <c r="M100" s="685">
        <f t="shared" ref="M100:M131" si="12">IF(L100&lt;&gt;0,+H100-L100,0)</f>
        <v>0</v>
      </c>
      <c r="N100" s="714">
        <f>+I100</f>
        <v>253541.98707940316</v>
      </c>
      <c r="O100" s="684">
        <f t="shared" ref="O100:O131" si="13">IF(N100&lt;&gt;0,+I100-N100,0)</f>
        <v>0</v>
      </c>
      <c r="P100" s="684">
        <f t="shared" ref="P100:P131" si="14">+O100-M100</f>
        <v>0</v>
      </c>
    </row>
    <row r="101" spans="1:16">
      <c r="B101" t="str">
        <f t="shared" si="10"/>
        <v>IU</v>
      </c>
      <c r="C101" s="678">
        <f>IF(D94="","-",+C100+1)</f>
        <v>2023</v>
      </c>
      <c r="D101" s="679">
        <f>IF(F100+SUM(E$100:E100)=D$93,F100,D$93-SUM(E$100:E100))</f>
        <v>3869436.921349206</v>
      </c>
      <c r="E101" s="510">
        <f t="shared" ref="E101:E155" si="15">IF(+J$97&lt;F100,J$97,D101)</f>
        <v>185736.23857142855</v>
      </c>
      <c r="F101" s="681">
        <f t="shared" ref="F101:F155" si="16">+D101-E101</f>
        <v>3683700.6827777773</v>
      </c>
      <c r="G101" s="681">
        <f t="shared" ref="G101:G155" si="17">+(F101+D101)/2</f>
        <v>3776568.8020634917</v>
      </c>
      <c r="H101" s="645">
        <f t="shared" ref="H101:H102" si="18">(D101+F101)/2*J$95+E101</f>
        <v>619130.64383643377</v>
      </c>
      <c r="I101" s="628">
        <f t="shared" ref="I101:I155" si="19">+J$96*G101+E101</f>
        <v>619130.64383643377</v>
      </c>
      <c r="J101" s="685">
        <f t="shared" si="11"/>
        <v>0</v>
      </c>
      <c r="K101" s="685"/>
      <c r="L101" s="130"/>
      <c r="M101" s="685">
        <f t="shared" ref="M101" si="20">IF(L101&lt;&gt;0,+H101-L101,0)</f>
        <v>0</v>
      </c>
      <c r="N101" s="130"/>
      <c r="O101" s="685">
        <f t="shared" ref="O101" si="21">IF(N101&lt;&gt;0,+I101-N101,0)</f>
        <v>0</v>
      </c>
      <c r="P101" s="685">
        <f t="shared" ref="P101" si="22">+O101-M101</f>
        <v>0</v>
      </c>
    </row>
    <row r="102" spans="1:16">
      <c r="B102" t="str">
        <f t="shared" si="10"/>
        <v/>
      </c>
      <c r="C102" s="678">
        <f>IF(D94="","-",+C101+1)</f>
        <v>2024</v>
      </c>
      <c r="D102" s="679">
        <f>IF(F101+SUM(E$100:E101)=D$93,F101,D$93-SUM(E$100:E101))</f>
        <v>3683700.6827777773</v>
      </c>
      <c r="E102" s="510">
        <f t="shared" si="15"/>
        <v>185736.23857142855</v>
      </c>
      <c r="F102" s="681">
        <f t="shared" si="16"/>
        <v>3497964.4442063486</v>
      </c>
      <c r="G102" s="681">
        <f t="shared" si="17"/>
        <v>3590832.563492063</v>
      </c>
      <c r="H102" s="645">
        <f t="shared" si="18"/>
        <v>597815.78082961123</v>
      </c>
      <c r="I102" s="628">
        <f t="shared" si="19"/>
        <v>597815.78082961123</v>
      </c>
      <c r="J102" s="685">
        <f t="shared" si="11"/>
        <v>0</v>
      </c>
      <c r="K102" s="685"/>
      <c r="L102" s="130"/>
      <c r="M102" s="685">
        <f t="shared" si="12"/>
        <v>0</v>
      </c>
      <c r="N102" s="130"/>
      <c r="O102" s="685">
        <f t="shared" si="13"/>
        <v>0</v>
      </c>
      <c r="P102" s="685">
        <f t="shared" si="14"/>
        <v>0</v>
      </c>
    </row>
    <row r="103" spans="1:16">
      <c r="B103" t="str">
        <f t="shared" si="10"/>
        <v/>
      </c>
      <c r="C103" s="678">
        <f>IF(D94="","-",+C102+1)</f>
        <v>2025</v>
      </c>
      <c r="D103" s="679">
        <f>IF(F102+SUM(E$100:E102)=D$93,F102,D$93-SUM(E$100:E102))</f>
        <v>3497964.4442063486</v>
      </c>
      <c r="E103" s="69">
        <f t="shared" si="15"/>
        <v>185736.23857142855</v>
      </c>
      <c r="F103" s="681">
        <f t="shared" si="16"/>
        <v>3312228.2056349199</v>
      </c>
      <c r="G103" s="681">
        <f t="shared" si="17"/>
        <v>3405096.3249206343</v>
      </c>
      <c r="H103" s="128">
        <f t="shared" ref="H103:H107" si="23">+J$95*G103+E103</f>
        <v>576500.91782278859</v>
      </c>
      <c r="I103" s="137">
        <f t="shared" si="19"/>
        <v>576500.91782278859</v>
      </c>
      <c r="J103" s="685">
        <f t="shared" si="11"/>
        <v>0</v>
      </c>
      <c r="K103" s="685"/>
      <c r="L103" s="130"/>
      <c r="M103" s="685">
        <f t="shared" si="12"/>
        <v>0</v>
      </c>
      <c r="N103" s="130"/>
      <c r="O103" s="685">
        <f t="shared" si="13"/>
        <v>0</v>
      </c>
      <c r="P103" s="685">
        <f t="shared" si="14"/>
        <v>0</v>
      </c>
    </row>
    <row r="104" spans="1:16">
      <c r="B104" t="str">
        <f t="shared" si="10"/>
        <v/>
      </c>
      <c r="C104" s="678">
        <f>IF(D94="","-",+C103+1)</f>
        <v>2026</v>
      </c>
      <c r="D104" s="679">
        <f>IF(F103+SUM(E$100:E103)=D$93,F103,D$93-SUM(E$100:E103))</f>
        <v>3312228.2056349199</v>
      </c>
      <c r="E104" s="69">
        <f t="shared" si="15"/>
        <v>185736.23857142855</v>
      </c>
      <c r="F104" s="681">
        <f t="shared" si="16"/>
        <v>3126491.9670634912</v>
      </c>
      <c r="G104" s="681">
        <f t="shared" si="17"/>
        <v>3219360.0863492056</v>
      </c>
      <c r="H104" s="128">
        <f t="shared" si="23"/>
        <v>555186.05481596594</v>
      </c>
      <c r="I104" s="137">
        <f t="shared" si="19"/>
        <v>555186.05481596594</v>
      </c>
      <c r="J104" s="685">
        <f t="shared" si="11"/>
        <v>0</v>
      </c>
      <c r="K104" s="685"/>
      <c r="L104" s="130"/>
      <c r="M104" s="685">
        <f t="shared" si="12"/>
        <v>0</v>
      </c>
      <c r="N104" s="130"/>
      <c r="O104" s="685">
        <f t="shared" si="13"/>
        <v>0</v>
      </c>
      <c r="P104" s="685">
        <f t="shared" si="14"/>
        <v>0</v>
      </c>
    </row>
    <row r="105" spans="1:16">
      <c r="B105" t="str">
        <f t="shared" si="10"/>
        <v/>
      </c>
      <c r="C105" s="678">
        <f>IF(D94="","-",+C104+1)</f>
        <v>2027</v>
      </c>
      <c r="D105" s="679">
        <f>IF(F104+SUM(E$100:E104)=D$93,F104,D$93-SUM(E$100:E104))</f>
        <v>3126491.9670634912</v>
      </c>
      <c r="E105" s="69">
        <f t="shared" si="15"/>
        <v>185736.23857142855</v>
      </c>
      <c r="F105" s="681">
        <f t="shared" si="16"/>
        <v>2940755.7284920625</v>
      </c>
      <c r="G105" s="681">
        <f t="shared" si="17"/>
        <v>3033623.8477777769</v>
      </c>
      <c r="H105" s="128">
        <f t="shared" si="23"/>
        <v>533871.19180914341</v>
      </c>
      <c r="I105" s="137">
        <f t="shared" si="19"/>
        <v>533871.19180914341</v>
      </c>
      <c r="J105" s="685">
        <f t="shared" si="11"/>
        <v>0</v>
      </c>
      <c r="K105" s="685"/>
      <c r="L105" s="130"/>
      <c r="M105" s="685">
        <f t="shared" si="12"/>
        <v>0</v>
      </c>
      <c r="N105" s="130"/>
      <c r="O105" s="685">
        <f t="shared" si="13"/>
        <v>0</v>
      </c>
      <c r="P105" s="685">
        <f t="shared" si="14"/>
        <v>0</v>
      </c>
    </row>
    <row r="106" spans="1:16">
      <c r="B106" t="str">
        <f t="shared" si="10"/>
        <v/>
      </c>
      <c r="C106" s="678">
        <f>IF(D94="","-",+C105+1)</f>
        <v>2028</v>
      </c>
      <c r="D106" s="679">
        <f>IF(F105+SUM(E$100:E105)=D$93,F105,D$93-SUM(E$100:E105))</f>
        <v>2940755.7284920625</v>
      </c>
      <c r="E106" s="69">
        <f t="shared" si="15"/>
        <v>185736.23857142855</v>
      </c>
      <c r="F106" s="681">
        <f t="shared" si="16"/>
        <v>2755019.4899206338</v>
      </c>
      <c r="G106" s="681">
        <f t="shared" si="17"/>
        <v>2847887.6092063482</v>
      </c>
      <c r="H106" s="128">
        <f t="shared" si="23"/>
        <v>512556.32880232076</v>
      </c>
      <c r="I106" s="137">
        <f t="shared" si="19"/>
        <v>512556.32880232076</v>
      </c>
      <c r="J106" s="685">
        <f t="shared" si="11"/>
        <v>0</v>
      </c>
      <c r="K106" s="685"/>
      <c r="L106" s="130"/>
      <c r="M106" s="685">
        <f t="shared" si="12"/>
        <v>0</v>
      </c>
      <c r="N106" s="130"/>
      <c r="O106" s="685">
        <f t="shared" si="13"/>
        <v>0</v>
      </c>
      <c r="P106" s="685">
        <f t="shared" si="14"/>
        <v>0</v>
      </c>
    </row>
    <row r="107" spans="1:16">
      <c r="B107" t="str">
        <f t="shared" si="10"/>
        <v/>
      </c>
      <c r="C107" s="678">
        <f>IF(D94="","-",+C106+1)</f>
        <v>2029</v>
      </c>
      <c r="D107" s="679">
        <f>IF(F106+SUM(E$100:E106)=D$93,F106,D$93-SUM(E$100:E106))</f>
        <v>2755019.4899206338</v>
      </c>
      <c r="E107" s="69">
        <f t="shared" si="15"/>
        <v>185736.23857142855</v>
      </c>
      <c r="F107" s="681">
        <f t="shared" si="16"/>
        <v>2569283.2513492052</v>
      </c>
      <c r="G107" s="681">
        <f t="shared" si="17"/>
        <v>2662151.3706349195</v>
      </c>
      <c r="H107" s="128">
        <f t="shared" si="23"/>
        <v>491241.46579549822</v>
      </c>
      <c r="I107" s="137">
        <f t="shared" si="19"/>
        <v>491241.46579549822</v>
      </c>
      <c r="J107" s="685">
        <f t="shared" si="11"/>
        <v>0</v>
      </c>
      <c r="K107" s="685"/>
      <c r="L107" s="130"/>
      <c r="M107" s="685">
        <f t="shared" si="12"/>
        <v>0</v>
      </c>
      <c r="N107" s="130"/>
      <c r="O107" s="685">
        <f t="shared" si="13"/>
        <v>0</v>
      </c>
      <c r="P107" s="685">
        <f t="shared" si="14"/>
        <v>0</v>
      </c>
    </row>
    <row r="108" spans="1:16">
      <c r="B108" t="str">
        <f t="shared" si="10"/>
        <v/>
      </c>
      <c r="C108" s="678">
        <f>IF(D94="","-",+C107+1)</f>
        <v>2030</v>
      </c>
      <c r="D108" s="679">
        <f>IF(F107+SUM(E$100:E107)=D$93,F107,D$93-SUM(E$100:E107))</f>
        <v>2569283.2513492052</v>
      </c>
      <c r="E108" s="510">
        <f t="shared" si="15"/>
        <v>185736.23857142855</v>
      </c>
      <c r="F108" s="681">
        <f t="shared" si="16"/>
        <v>2383547.0127777765</v>
      </c>
      <c r="G108" s="681">
        <f t="shared" si="17"/>
        <v>2476415.1320634908</v>
      </c>
      <c r="H108" s="645">
        <f t="shared" ref="H108:H155" si="24">(D108+F108)/2*J$95+E108</f>
        <v>469926.60278867558</v>
      </c>
      <c r="I108" s="628">
        <f t="shared" si="19"/>
        <v>469926.60278867558</v>
      </c>
      <c r="J108" s="685">
        <f t="shared" si="11"/>
        <v>0</v>
      </c>
      <c r="K108" s="685"/>
      <c r="L108" s="130"/>
      <c r="M108" s="685">
        <f t="shared" si="12"/>
        <v>0</v>
      </c>
      <c r="N108" s="130"/>
      <c r="O108" s="685">
        <f t="shared" si="13"/>
        <v>0</v>
      </c>
      <c r="P108" s="685">
        <f t="shared" si="14"/>
        <v>0</v>
      </c>
    </row>
    <row r="109" spans="1:16">
      <c r="B109" t="str">
        <f t="shared" si="10"/>
        <v/>
      </c>
      <c r="C109" s="678">
        <f>IF(D94="","-",+C108+1)</f>
        <v>2031</v>
      </c>
      <c r="D109" s="679">
        <f>IF(F108+SUM(E$100:E108)=D$93,F108,D$93-SUM(E$100:E108))</f>
        <v>2383547.0127777765</v>
      </c>
      <c r="E109" s="510">
        <f t="shared" si="15"/>
        <v>185736.23857142855</v>
      </c>
      <c r="F109" s="681">
        <f t="shared" si="16"/>
        <v>2197810.7742063478</v>
      </c>
      <c r="G109" s="681">
        <f t="shared" si="17"/>
        <v>2290678.8934920621</v>
      </c>
      <c r="H109" s="645">
        <f t="shared" si="24"/>
        <v>448611.73978185293</v>
      </c>
      <c r="I109" s="628">
        <f t="shared" si="19"/>
        <v>448611.73978185293</v>
      </c>
      <c r="J109" s="685">
        <f t="shared" si="11"/>
        <v>0</v>
      </c>
      <c r="K109" s="685"/>
      <c r="L109" s="130"/>
      <c r="M109" s="685">
        <f t="shared" si="12"/>
        <v>0</v>
      </c>
      <c r="N109" s="130"/>
      <c r="O109" s="685">
        <f t="shared" si="13"/>
        <v>0</v>
      </c>
      <c r="P109" s="685">
        <f t="shared" si="14"/>
        <v>0</v>
      </c>
    </row>
    <row r="110" spans="1:16">
      <c r="B110" t="str">
        <f t="shared" si="10"/>
        <v/>
      </c>
      <c r="C110" s="678">
        <f>IF(D94="","-",+C109+1)</f>
        <v>2032</v>
      </c>
      <c r="D110" s="679">
        <f>IF(F109+SUM(E$100:E109)=D$93,F109,D$93-SUM(E$100:E109))</f>
        <v>2197810.7742063478</v>
      </c>
      <c r="E110" s="510">
        <f t="shared" si="15"/>
        <v>185736.23857142855</v>
      </c>
      <c r="F110" s="681">
        <f t="shared" si="16"/>
        <v>2012074.5356349193</v>
      </c>
      <c r="G110" s="681">
        <f t="shared" si="17"/>
        <v>2104942.6549206334</v>
      </c>
      <c r="H110" s="645">
        <f t="shared" si="24"/>
        <v>427296.8767750304</v>
      </c>
      <c r="I110" s="628">
        <f t="shared" si="19"/>
        <v>427296.8767750304</v>
      </c>
      <c r="J110" s="685">
        <f t="shared" si="11"/>
        <v>0</v>
      </c>
      <c r="K110" s="685"/>
      <c r="L110" s="130"/>
      <c r="M110" s="685">
        <f t="shared" si="12"/>
        <v>0</v>
      </c>
      <c r="N110" s="130"/>
      <c r="O110" s="685">
        <f t="shared" si="13"/>
        <v>0</v>
      </c>
      <c r="P110" s="685">
        <f t="shared" si="14"/>
        <v>0</v>
      </c>
    </row>
    <row r="111" spans="1:16">
      <c r="B111" t="str">
        <f t="shared" si="10"/>
        <v/>
      </c>
      <c r="C111" s="678">
        <f>IF(D94="","-",+C110+1)</f>
        <v>2033</v>
      </c>
      <c r="D111" s="679">
        <f>IF(F110+SUM(E$100:E110)=D$93,F110,D$93-SUM(E$100:E110))</f>
        <v>2012074.5356349193</v>
      </c>
      <c r="E111" s="510">
        <f t="shared" si="15"/>
        <v>185736.23857142855</v>
      </c>
      <c r="F111" s="681">
        <f t="shared" si="16"/>
        <v>1826338.2970634908</v>
      </c>
      <c r="G111" s="681">
        <f t="shared" si="17"/>
        <v>1919206.4163492052</v>
      </c>
      <c r="H111" s="645">
        <f t="shared" si="24"/>
        <v>405982.01376820786</v>
      </c>
      <c r="I111" s="628">
        <f t="shared" si="19"/>
        <v>405982.01376820786</v>
      </c>
      <c r="J111" s="685">
        <f t="shared" si="11"/>
        <v>0</v>
      </c>
      <c r="K111" s="685"/>
      <c r="L111" s="130"/>
      <c r="M111" s="685">
        <f t="shared" si="12"/>
        <v>0</v>
      </c>
      <c r="N111" s="130"/>
      <c r="O111" s="685">
        <f t="shared" si="13"/>
        <v>0</v>
      </c>
      <c r="P111" s="685">
        <f t="shared" si="14"/>
        <v>0</v>
      </c>
    </row>
    <row r="112" spans="1:16">
      <c r="B112" t="str">
        <f t="shared" si="10"/>
        <v/>
      </c>
      <c r="C112" s="678">
        <f>IF(D94="","-",+C111+1)</f>
        <v>2034</v>
      </c>
      <c r="D112" s="679">
        <f>IF(F111+SUM(E$100:E111)=D$93,F111,D$93-SUM(E$100:E111))</f>
        <v>1826338.2970634908</v>
      </c>
      <c r="E112" s="510">
        <f t="shared" si="15"/>
        <v>185736.23857142855</v>
      </c>
      <c r="F112" s="681">
        <f t="shared" si="16"/>
        <v>1640602.0584920624</v>
      </c>
      <c r="G112" s="681">
        <f t="shared" si="17"/>
        <v>1733470.1777777765</v>
      </c>
      <c r="H112" s="645">
        <f t="shared" si="24"/>
        <v>384667.15076138522</v>
      </c>
      <c r="I112" s="628">
        <f t="shared" si="19"/>
        <v>384667.15076138522</v>
      </c>
      <c r="J112" s="685">
        <f t="shared" si="11"/>
        <v>0</v>
      </c>
      <c r="K112" s="685"/>
      <c r="L112" s="130"/>
      <c r="M112" s="685">
        <f t="shared" si="12"/>
        <v>0</v>
      </c>
      <c r="N112" s="130"/>
      <c r="O112" s="685">
        <f t="shared" si="13"/>
        <v>0</v>
      </c>
      <c r="P112" s="685">
        <f t="shared" si="14"/>
        <v>0</v>
      </c>
    </row>
    <row r="113" spans="2:16">
      <c r="B113" t="str">
        <f t="shared" si="10"/>
        <v/>
      </c>
      <c r="C113" s="678">
        <f>IF(D94="","-",+C112+1)</f>
        <v>2035</v>
      </c>
      <c r="D113" s="679">
        <f>IF(F112+SUM(E$100:E112)=D$93,F112,D$93-SUM(E$100:E112))</f>
        <v>1640602.0584920624</v>
      </c>
      <c r="E113" s="510">
        <f t="shared" si="15"/>
        <v>185736.23857142855</v>
      </c>
      <c r="F113" s="681">
        <f t="shared" si="16"/>
        <v>1454865.8199206339</v>
      </c>
      <c r="G113" s="681">
        <f t="shared" si="17"/>
        <v>1547733.9392063483</v>
      </c>
      <c r="H113" s="645">
        <f t="shared" si="24"/>
        <v>363352.28775456268</v>
      </c>
      <c r="I113" s="628">
        <f t="shared" si="19"/>
        <v>363352.28775456268</v>
      </c>
      <c r="J113" s="685">
        <f t="shared" si="11"/>
        <v>0</v>
      </c>
      <c r="K113" s="685"/>
      <c r="L113" s="130"/>
      <c r="M113" s="685">
        <f t="shared" si="12"/>
        <v>0</v>
      </c>
      <c r="N113" s="130"/>
      <c r="O113" s="685">
        <f t="shared" si="13"/>
        <v>0</v>
      </c>
      <c r="P113" s="685">
        <f t="shared" si="14"/>
        <v>0</v>
      </c>
    </row>
    <row r="114" spans="2:16">
      <c r="B114" t="str">
        <f t="shared" si="10"/>
        <v/>
      </c>
      <c r="C114" s="678">
        <f>IF(D94="","-",+C113+1)</f>
        <v>2036</v>
      </c>
      <c r="D114" s="679">
        <f>IF(F113+SUM(E$100:E113)=D$93,F113,D$93-SUM(E$100:E113))</f>
        <v>1454865.8199206339</v>
      </c>
      <c r="E114" s="510">
        <f t="shared" si="15"/>
        <v>185736.23857142855</v>
      </c>
      <c r="F114" s="681">
        <f t="shared" si="16"/>
        <v>1269129.5813492055</v>
      </c>
      <c r="G114" s="681">
        <f t="shared" si="17"/>
        <v>1361997.7006349196</v>
      </c>
      <c r="H114" s="645">
        <f t="shared" si="24"/>
        <v>342037.42474774009</v>
      </c>
      <c r="I114" s="628">
        <f t="shared" si="19"/>
        <v>342037.42474774009</v>
      </c>
      <c r="J114" s="685">
        <f t="shared" si="11"/>
        <v>0</v>
      </c>
      <c r="K114" s="685"/>
      <c r="L114" s="130"/>
      <c r="M114" s="685">
        <f t="shared" si="12"/>
        <v>0</v>
      </c>
      <c r="N114" s="130"/>
      <c r="O114" s="685">
        <f t="shared" si="13"/>
        <v>0</v>
      </c>
      <c r="P114" s="685">
        <f t="shared" si="14"/>
        <v>0</v>
      </c>
    </row>
    <row r="115" spans="2:16">
      <c r="B115" t="str">
        <f t="shared" si="10"/>
        <v/>
      </c>
      <c r="C115" s="678">
        <f>IF(D94="","-",+C114+1)</f>
        <v>2037</v>
      </c>
      <c r="D115" s="679">
        <f>IF(F114+SUM(E$100:E114)=D$93,F114,D$93-SUM(E$100:E114))</f>
        <v>1269129.5813492055</v>
      </c>
      <c r="E115" s="510">
        <f t="shared" si="15"/>
        <v>185736.23857142855</v>
      </c>
      <c r="F115" s="681">
        <f t="shared" si="16"/>
        <v>1083393.342777777</v>
      </c>
      <c r="G115" s="681">
        <f t="shared" si="17"/>
        <v>1176261.4620634913</v>
      </c>
      <c r="H115" s="645">
        <f t="shared" si="24"/>
        <v>320722.5617409175</v>
      </c>
      <c r="I115" s="628">
        <f t="shared" si="19"/>
        <v>320722.5617409175</v>
      </c>
      <c r="J115" s="685">
        <f t="shared" si="11"/>
        <v>0</v>
      </c>
      <c r="K115" s="685"/>
      <c r="L115" s="130"/>
      <c r="M115" s="685">
        <f t="shared" si="12"/>
        <v>0</v>
      </c>
      <c r="N115" s="130"/>
      <c r="O115" s="685">
        <f t="shared" si="13"/>
        <v>0</v>
      </c>
      <c r="P115" s="685">
        <f t="shared" si="14"/>
        <v>0</v>
      </c>
    </row>
    <row r="116" spans="2:16">
      <c r="B116" t="str">
        <f t="shared" si="10"/>
        <v/>
      </c>
      <c r="C116" s="678">
        <f>IF(D94="","-",+C115+1)</f>
        <v>2038</v>
      </c>
      <c r="D116" s="679">
        <f>IF(F115+SUM(E$100:E115)=D$93,F115,D$93-SUM(E$100:E115))</f>
        <v>1083393.342777777</v>
      </c>
      <c r="E116" s="510">
        <f t="shared" si="15"/>
        <v>185736.23857142855</v>
      </c>
      <c r="F116" s="681">
        <f t="shared" si="16"/>
        <v>897657.10420634842</v>
      </c>
      <c r="G116" s="681">
        <f t="shared" si="17"/>
        <v>990525.22349206265</v>
      </c>
      <c r="H116" s="645">
        <f t="shared" si="24"/>
        <v>299407.69873409491</v>
      </c>
      <c r="I116" s="628">
        <f t="shared" si="19"/>
        <v>299407.69873409491</v>
      </c>
      <c r="J116" s="685">
        <f t="shared" si="11"/>
        <v>0</v>
      </c>
      <c r="K116" s="685"/>
      <c r="L116" s="130"/>
      <c r="M116" s="685">
        <f t="shared" si="12"/>
        <v>0</v>
      </c>
      <c r="N116" s="130"/>
      <c r="O116" s="685">
        <f t="shared" si="13"/>
        <v>0</v>
      </c>
      <c r="P116" s="685">
        <f t="shared" si="14"/>
        <v>0</v>
      </c>
    </row>
    <row r="117" spans="2:16">
      <c r="B117" t="str">
        <f t="shared" si="10"/>
        <v/>
      </c>
      <c r="C117" s="678">
        <f>IF(D94="","-",+C116+1)</f>
        <v>2039</v>
      </c>
      <c r="D117" s="679">
        <f>IF(F116+SUM(E$100:E116)=D$93,F116,D$93-SUM(E$100:E116))</f>
        <v>897657.10420634842</v>
      </c>
      <c r="E117" s="510">
        <f t="shared" si="15"/>
        <v>185736.23857142855</v>
      </c>
      <c r="F117" s="681">
        <f t="shared" si="16"/>
        <v>711920.86563491984</v>
      </c>
      <c r="G117" s="681">
        <f t="shared" si="17"/>
        <v>804788.98492063419</v>
      </c>
      <c r="H117" s="645">
        <f t="shared" si="24"/>
        <v>278092.83572727232</v>
      </c>
      <c r="I117" s="628">
        <f t="shared" si="19"/>
        <v>278092.83572727232</v>
      </c>
      <c r="J117" s="685">
        <f t="shared" si="11"/>
        <v>0</v>
      </c>
      <c r="K117" s="685"/>
      <c r="L117" s="130"/>
      <c r="M117" s="685">
        <f t="shared" si="12"/>
        <v>0</v>
      </c>
      <c r="N117" s="130"/>
      <c r="O117" s="685">
        <f t="shared" si="13"/>
        <v>0</v>
      </c>
      <c r="P117" s="685">
        <f t="shared" si="14"/>
        <v>0</v>
      </c>
    </row>
    <row r="118" spans="2:16">
      <c r="B118" t="str">
        <f t="shared" si="10"/>
        <v/>
      </c>
      <c r="C118" s="678">
        <f>IF(D94="","-",+C117+1)</f>
        <v>2040</v>
      </c>
      <c r="D118" s="679">
        <f>IF(F117+SUM(E$100:E117)=D$93,F117,D$93-SUM(E$100:E117))</f>
        <v>711920.86563491984</v>
      </c>
      <c r="E118" s="510">
        <f t="shared" si="15"/>
        <v>185736.23857142855</v>
      </c>
      <c r="F118" s="681">
        <f t="shared" si="16"/>
        <v>526184.62706349127</v>
      </c>
      <c r="G118" s="681">
        <f t="shared" si="17"/>
        <v>619052.7463492055</v>
      </c>
      <c r="H118" s="645">
        <f t="shared" si="24"/>
        <v>256777.97272044976</v>
      </c>
      <c r="I118" s="628">
        <f t="shared" si="19"/>
        <v>256777.97272044976</v>
      </c>
      <c r="J118" s="685">
        <f t="shared" si="11"/>
        <v>0</v>
      </c>
      <c r="K118" s="685"/>
      <c r="L118" s="130"/>
      <c r="M118" s="685">
        <f t="shared" si="12"/>
        <v>0</v>
      </c>
      <c r="N118" s="130"/>
      <c r="O118" s="685">
        <f t="shared" si="13"/>
        <v>0</v>
      </c>
      <c r="P118" s="685">
        <f t="shared" si="14"/>
        <v>0</v>
      </c>
    </row>
    <row r="119" spans="2:16">
      <c r="B119" t="str">
        <f t="shared" si="10"/>
        <v/>
      </c>
      <c r="C119" s="678">
        <f>IF(D94="","-",+C118+1)</f>
        <v>2041</v>
      </c>
      <c r="D119" s="679">
        <f>IF(F118+SUM(E$100:E118)=D$93,F118,D$93-SUM(E$100:E118))</f>
        <v>526184.62706349127</v>
      </c>
      <c r="E119" s="510">
        <f t="shared" si="15"/>
        <v>185736.23857142855</v>
      </c>
      <c r="F119" s="681">
        <f t="shared" si="16"/>
        <v>340448.38849206269</v>
      </c>
      <c r="G119" s="681">
        <f t="shared" si="17"/>
        <v>433316.50777777698</v>
      </c>
      <c r="H119" s="645">
        <f t="shared" si="24"/>
        <v>235463.10971362717</v>
      </c>
      <c r="I119" s="628">
        <f t="shared" si="19"/>
        <v>235463.10971362717</v>
      </c>
      <c r="J119" s="685">
        <f t="shared" si="11"/>
        <v>0</v>
      </c>
      <c r="K119" s="685"/>
      <c r="L119" s="130"/>
      <c r="M119" s="685">
        <f t="shared" si="12"/>
        <v>0</v>
      </c>
      <c r="N119" s="130"/>
      <c r="O119" s="685">
        <f t="shared" si="13"/>
        <v>0</v>
      </c>
      <c r="P119" s="685">
        <f t="shared" si="14"/>
        <v>0</v>
      </c>
    </row>
    <row r="120" spans="2:16">
      <c r="B120" t="str">
        <f t="shared" si="10"/>
        <v/>
      </c>
      <c r="C120" s="678">
        <f>IF(D94="","-",+C119+1)</f>
        <v>2042</v>
      </c>
      <c r="D120" s="679">
        <f>IF(F119+SUM(E$100:E119)=D$93,F119,D$93-SUM(E$100:E119))</f>
        <v>340448.38849206269</v>
      </c>
      <c r="E120" s="510">
        <f t="shared" si="15"/>
        <v>185736.23857142855</v>
      </c>
      <c r="F120" s="681">
        <f t="shared" si="16"/>
        <v>154712.14992063414</v>
      </c>
      <c r="G120" s="681">
        <f t="shared" si="17"/>
        <v>247580.2692063484</v>
      </c>
      <c r="H120" s="645">
        <f t="shared" si="24"/>
        <v>214148.24670680458</v>
      </c>
      <c r="I120" s="628">
        <f t="shared" si="19"/>
        <v>214148.24670680458</v>
      </c>
      <c r="J120" s="685">
        <f t="shared" si="11"/>
        <v>0</v>
      </c>
      <c r="K120" s="685"/>
      <c r="L120" s="130"/>
      <c r="M120" s="685">
        <f t="shared" si="12"/>
        <v>0</v>
      </c>
      <c r="N120" s="130"/>
      <c r="O120" s="685">
        <f t="shared" si="13"/>
        <v>0</v>
      </c>
      <c r="P120" s="685">
        <f t="shared" si="14"/>
        <v>0</v>
      </c>
    </row>
    <row r="121" spans="2:16">
      <c r="B121" t="str">
        <f t="shared" si="10"/>
        <v/>
      </c>
      <c r="C121" s="678">
        <f>IF(D94="","-",+C120+1)</f>
        <v>2043</v>
      </c>
      <c r="D121" s="679">
        <f>IF(F120+SUM(E$100:E120)=D$93,F120,D$93-SUM(E$100:E120))</f>
        <v>154712.14992063414</v>
      </c>
      <c r="E121" s="510">
        <f t="shared" si="15"/>
        <v>154712.14992063414</v>
      </c>
      <c r="F121" s="681">
        <f t="shared" si="16"/>
        <v>0</v>
      </c>
      <c r="G121" s="681">
        <f t="shared" si="17"/>
        <v>77356.07496031707</v>
      </c>
      <c r="H121" s="645">
        <f t="shared" si="24"/>
        <v>163589.43823661652</v>
      </c>
      <c r="I121" s="628">
        <f t="shared" si="19"/>
        <v>163589.43823661652</v>
      </c>
      <c r="J121" s="685">
        <f t="shared" si="11"/>
        <v>0</v>
      </c>
      <c r="K121" s="685"/>
      <c r="L121" s="130"/>
      <c r="M121" s="685">
        <f t="shared" si="12"/>
        <v>0</v>
      </c>
      <c r="N121" s="130"/>
      <c r="O121" s="685">
        <f t="shared" si="13"/>
        <v>0</v>
      </c>
      <c r="P121" s="685">
        <f t="shared" si="14"/>
        <v>0</v>
      </c>
    </row>
    <row r="122" spans="2:16">
      <c r="B122" t="str">
        <f t="shared" si="10"/>
        <v/>
      </c>
      <c r="C122" s="678">
        <f>IF(D94="","-",+C121+1)</f>
        <v>2044</v>
      </c>
      <c r="D122" s="679">
        <f>IF(F121+SUM(E$100:E121)=D$93,F121,D$93-SUM(E$100:E121))</f>
        <v>0</v>
      </c>
      <c r="E122" s="510">
        <f t="shared" si="15"/>
        <v>0</v>
      </c>
      <c r="F122" s="681">
        <f t="shared" si="16"/>
        <v>0</v>
      </c>
      <c r="G122" s="681">
        <f t="shared" si="17"/>
        <v>0</v>
      </c>
      <c r="H122" s="645">
        <f t="shared" si="24"/>
        <v>0</v>
      </c>
      <c r="I122" s="628">
        <f t="shared" si="19"/>
        <v>0</v>
      </c>
      <c r="J122" s="685">
        <f t="shared" si="11"/>
        <v>0</v>
      </c>
      <c r="K122" s="685"/>
      <c r="L122" s="130"/>
      <c r="M122" s="685">
        <f t="shared" si="12"/>
        <v>0</v>
      </c>
      <c r="N122" s="130"/>
      <c r="O122" s="685">
        <f t="shared" si="13"/>
        <v>0</v>
      </c>
      <c r="P122" s="685">
        <f t="shared" si="14"/>
        <v>0</v>
      </c>
    </row>
    <row r="123" spans="2:16">
      <c r="B123" t="str">
        <f t="shared" si="10"/>
        <v/>
      </c>
      <c r="C123" s="678">
        <f>IF(D94="","-",+C122+1)</f>
        <v>2045</v>
      </c>
      <c r="D123" s="679">
        <f>IF(F122+SUM(E$100:E122)=D$93,F122,D$93-SUM(E$100:E122))</f>
        <v>0</v>
      </c>
      <c r="E123" s="510">
        <f t="shared" si="15"/>
        <v>0</v>
      </c>
      <c r="F123" s="681">
        <f t="shared" si="16"/>
        <v>0</v>
      </c>
      <c r="G123" s="681">
        <f t="shared" si="17"/>
        <v>0</v>
      </c>
      <c r="H123" s="645">
        <f t="shared" si="24"/>
        <v>0</v>
      </c>
      <c r="I123" s="628">
        <f t="shared" si="19"/>
        <v>0</v>
      </c>
      <c r="J123" s="685">
        <f t="shared" si="11"/>
        <v>0</v>
      </c>
      <c r="K123" s="685"/>
      <c r="L123" s="130"/>
      <c r="M123" s="685">
        <f t="shared" si="12"/>
        <v>0</v>
      </c>
      <c r="N123" s="130"/>
      <c r="O123" s="685">
        <f t="shared" si="13"/>
        <v>0</v>
      </c>
      <c r="P123" s="685">
        <f t="shared" si="14"/>
        <v>0</v>
      </c>
    </row>
    <row r="124" spans="2:16">
      <c r="B124" t="str">
        <f t="shared" si="10"/>
        <v/>
      </c>
      <c r="C124" s="678">
        <f>IF(D94="","-",+C123+1)</f>
        <v>2046</v>
      </c>
      <c r="D124" s="679">
        <f>IF(F123+SUM(E$100:E123)=D$93,F123,D$93-SUM(E$100:E123))</f>
        <v>0</v>
      </c>
      <c r="E124" s="510">
        <f t="shared" si="15"/>
        <v>0</v>
      </c>
      <c r="F124" s="681">
        <f t="shared" si="16"/>
        <v>0</v>
      </c>
      <c r="G124" s="681">
        <f t="shared" si="17"/>
        <v>0</v>
      </c>
      <c r="H124" s="645">
        <f t="shared" si="24"/>
        <v>0</v>
      </c>
      <c r="I124" s="628">
        <f t="shared" si="19"/>
        <v>0</v>
      </c>
      <c r="J124" s="685">
        <f t="shared" si="11"/>
        <v>0</v>
      </c>
      <c r="K124" s="685"/>
      <c r="L124" s="130"/>
      <c r="M124" s="685">
        <f t="shared" si="12"/>
        <v>0</v>
      </c>
      <c r="N124" s="130"/>
      <c r="O124" s="685">
        <f t="shared" si="13"/>
        <v>0</v>
      </c>
      <c r="P124" s="685">
        <f t="shared" si="14"/>
        <v>0</v>
      </c>
    </row>
    <row r="125" spans="2:16">
      <c r="B125" t="str">
        <f t="shared" si="10"/>
        <v/>
      </c>
      <c r="C125" s="678">
        <f>IF(D94="","-",+C124+1)</f>
        <v>2047</v>
      </c>
      <c r="D125" s="679">
        <f>IF(F124+SUM(E$100:E124)=D$93,F124,D$93-SUM(E$100:E124))</f>
        <v>0</v>
      </c>
      <c r="E125" s="510">
        <f t="shared" si="15"/>
        <v>0</v>
      </c>
      <c r="F125" s="681">
        <f t="shared" si="16"/>
        <v>0</v>
      </c>
      <c r="G125" s="681">
        <f t="shared" si="17"/>
        <v>0</v>
      </c>
      <c r="H125" s="645">
        <f t="shared" si="24"/>
        <v>0</v>
      </c>
      <c r="I125" s="628">
        <f t="shared" si="19"/>
        <v>0</v>
      </c>
      <c r="J125" s="685">
        <f t="shared" si="11"/>
        <v>0</v>
      </c>
      <c r="K125" s="685"/>
      <c r="L125" s="130"/>
      <c r="M125" s="685">
        <f t="shared" si="12"/>
        <v>0</v>
      </c>
      <c r="N125" s="130"/>
      <c r="O125" s="685">
        <f t="shared" si="13"/>
        <v>0</v>
      </c>
      <c r="P125" s="685">
        <f t="shared" si="14"/>
        <v>0</v>
      </c>
    </row>
    <row r="126" spans="2:16">
      <c r="B126" t="str">
        <f t="shared" si="10"/>
        <v/>
      </c>
      <c r="C126" s="678">
        <f>IF(D94="","-",+C125+1)</f>
        <v>2048</v>
      </c>
      <c r="D126" s="679">
        <f>IF(F125+SUM(E$100:E125)=D$93,F125,D$93-SUM(E$100:E125))</f>
        <v>0</v>
      </c>
      <c r="E126" s="510">
        <f t="shared" si="15"/>
        <v>0</v>
      </c>
      <c r="F126" s="681">
        <f t="shared" si="16"/>
        <v>0</v>
      </c>
      <c r="G126" s="681">
        <f t="shared" si="17"/>
        <v>0</v>
      </c>
      <c r="H126" s="645">
        <f t="shared" si="24"/>
        <v>0</v>
      </c>
      <c r="I126" s="628">
        <f t="shared" si="19"/>
        <v>0</v>
      </c>
      <c r="J126" s="685">
        <f t="shared" si="11"/>
        <v>0</v>
      </c>
      <c r="K126" s="685"/>
      <c r="L126" s="130"/>
      <c r="M126" s="685">
        <f t="shared" si="12"/>
        <v>0</v>
      </c>
      <c r="N126" s="130"/>
      <c r="O126" s="685">
        <f t="shared" si="13"/>
        <v>0</v>
      </c>
      <c r="P126" s="685">
        <f t="shared" si="14"/>
        <v>0</v>
      </c>
    </row>
    <row r="127" spans="2:16">
      <c r="B127" t="str">
        <f t="shared" si="10"/>
        <v/>
      </c>
      <c r="C127" s="678">
        <f>IF(D94="","-",+C126+1)</f>
        <v>2049</v>
      </c>
      <c r="D127" s="679">
        <f>IF(F126+SUM(E$100:E126)=D$93,F126,D$93-SUM(E$100:E126))</f>
        <v>0</v>
      </c>
      <c r="E127" s="510">
        <f t="shared" si="15"/>
        <v>0</v>
      </c>
      <c r="F127" s="681">
        <f t="shared" si="16"/>
        <v>0</v>
      </c>
      <c r="G127" s="681">
        <f t="shared" si="17"/>
        <v>0</v>
      </c>
      <c r="H127" s="645">
        <f t="shared" si="24"/>
        <v>0</v>
      </c>
      <c r="I127" s="628">
        <f t="shared" si="19"/>
        <v>0</v>
      </c>
      <c r="J127" s="685">
        <f t="shared" si="11"/>
        <v>0</v>
      </c>
      <c r="K127" s="685"/>
      <c r="L127" s="130"/>
      <c r="M127" s="685">
        <f t="shared" si="12"/>
        <v>0</v>
      </c>
      <c r="N127" s="130"/>
      <c r="O127" s="685">
        <f t="shared" si="13"/>
        <v>0</v>
      </c>
      <c r="P127" s="685">
        <f t="shared" si="14"/>
        <v>0</v>
      </c>
    </row>
    <row r="128" spans="2:16">
      <c r="B128" t="str">
        <f t="shared" si="10"/>
        <v/>
      </c>
      <c r="C128" s="678">
        <f>IF(D94="","-",+C127+1)</f>
        <v>2050</v>
      </c>
      <c r="D128" s="679">
        <f>IF(F127+SUM(E$100:E127)=D$93,F127,D$93-SUM(E$100:E127))</f>
        <v>0</v>
      </c>
      <c r="E128" s="510">
        <f t="shared" si="15"/>
        <v>0</v>
      </c>
      <c r="F128" s="681">
        <f t="shared" si="16"/>
        <v>0</v>
      </c>
      <c r="G128" s="681">
        <f t="shared" si="17"/>
        <v>0</v>
      </c>
      <c r="H128" s="645">
        <f t="shared" si="24"/>
        <v>0</v>
      </c>
      <c r="I128" s="628">
        <f t="shared" si="19"/>
        <v>0</v>
      </c>
      <c r="J128" s="685">
        <f t="shared" si="11"/>
        <v>0</v>
      </c>
      <c r="K128" s="685"/>
      <c r="L128" s="130"/>
      <c r="M128" s="685">
        <f t="shared" si="12"/>
        <v>0</v>
      </c>
      <c r="N128" s="130"/>
      <c r="O128" s="685">
        <f t="shared" si="13"/>
        <v>0</v>
      </c>
      <c r="P128" s="685">
        <f t="shared" si="14"/>
        <v>0</v>
      </c>
    </row>
    <row r="129" spans="2:16">
      <c r="B129" t="str">
        <f t="shared" si="10"/>
        <v/>
      </c>
      <c r="C129" s="678">
        <f>IF(D94="","-",+C128+1)</f>
        <v>2051</v>
      </c>
      <c r="D129" s="679">
        <f>IF(F128+SUM(E$100:E128)=D$93,F128,D$93-SUM(E$100:E128))</f>
        <v>0</v>
      </c>
      <c r="E129" s="510">
        <f t="shared" si="15"/>
        <v>0</v>
      </c>
      <c r="F129" s="681">
        <f t="shared" si="16"/>
        <v>0</v>
      </c>
      <c r="G129" s="681">
        <f t="shared" si="17"/>
        <v>0</v>
      </c>
      <c r="H129" s="645">
        <f t="shared" si="24"/>
        <v>0</v>
      </c>
      <c r="I129" s="628">
        <f t="shared" si="19"/>
        <v>0</v>
      </c>
      <c r="J129" s="685">
        <f t="shared" si="11"/>
        <v>0</v>
      </c>
      <c r="K129" s="685"/>
      <c r="L129" s="130"/>
      <c r="M129" s="685">
        <f t="shared" si="12"/>
        <v>0</v>
      </c>
      <c r="N129" s="130"/>
      <c r="O129" s="685">
        <f t="shared" si="13"/>
        <v>0</v>
      </c>
      <c r="P129" s="685">
        <f t="shared" si="14"/>
        <v>0</v>
      </c>
    </row>
    <row r="130" spans="2:16">
      <c r="B130" t="str">
        <f t="shared" si="10"/>
        <v/>
      </c>
      <c r="C130" s="678">
        <f>IF(D94="","-",+C129+1)</f>
        <v>2052</v>
      </c>
      <c r="D130" s="679">
        <f>IF(F129+SUM(E$100:E129)=D$93,F129,D$93-SUM(E$100:E129))</f>
        <v>0</v>
      </c>
      <c r="E130" s="510">
        <f t="shared" si="15"/>
        <v>0</v>
      </c>
      <c r="F130" s="681">
        <f t="shared" si="16"/>
        <v>0</v>
      </c>
      <c r="G130" s="681">
        <f t="shared" si="17"/>
        <v>0</v>
      </c>
      <c r="H130" s="645">
        <f t="shared" si="24"/>
        <v>0</v>
      </c>
      <c r="I130" s="628">
        <f t="shared" si="19"/>
        <v>0</v>
      </c>
      <c r="J130" s="685">
        <f t="shared" si="11"/>
        <v>0</v>
      </c>
      <c r="K130" s="685"/>
      <c r="L130" s="130"/>
      <c r="M130" s="685">
        <f t="shared" si="12"/>
        <v>0</v>
      </c>
      <c r="N130" s="130"/>
      <c r="O130" s="685">
        <f t="shared" si="13"/>
        <v>0</v>
      </c>
      <c r="P130" s="685">
        <f t="shared" si="14"/>
        <v>0</v>
      </c>
    </row>
    <row r="131" spans="2:16">
      <c r="B131" t="str">
        <f t="shared" si="10"/>
        <v/>
      </c>
      <c r="C131" s="678">
        <f>IF(D94="","-",+C130+1)</f>
        <v>2053</v>
      </c>
      <c r="D131" s="679">
        <f>IF(F130+SUM(E$100:E130)=D$93,F130,D$93-SUM(E$100:E130))</f>
        <v>0</v>
      </c>
      <c r="E131" s="510">
        <f t="shared" si="15"/>
        <v>0</v>
      </c>
      <c r="F131" s="681">
        <f t="shared" si="16"/>
        <v>0</v>
      </c>
      <c r="G131" s="681">
        <f t="shared" si="17"/>
        <v>0</v>
      </c>
      <c r="H131" s="645">
        <f t="shared" si="24"/>
        <v>0</v>
      </c>
      <c r="I131" s="628">
        <f t="shared" si="19"/>
        <v>0</v>
      </c>
      <c r="J131" s="685">
        <f t="shared" si="11"/>
        <v>0</v>
      </c>
      <c r="K131" s="685"/>
      <c r="L131" s="130"/>
      <c r="M131" s="685">
        <f t="shared" si="12"/>
        <v>0</v>
      </c>
      <c r="N131" s="130"/>
      <c r="O131" s="685">
        <f t="shared" si="13"/>
        <v>0</v>
      </c>
      <c r="P131" s="685">
        <f t="shared" si="14"/>
        <v>0</v>
      </c>
    </row>
    <row r="132" spans="2:16">
      <c r="B132" t="str">
        <f t="shared" si="10"/>
        <v/>
      </c>
      <c r="C132" s="678">
        <f>IF(D94="","-",+C131+1)</f>
        <v>2054</v>
      </c>
      <c r="D132" s="679">
        <f>IF(F131+SUM(E$100:E131)=D$93,F131,D$93-SUM(E$100:E131))</f>
        <v>0</v>
      </c>
      <c r="E132" s="510">
        <f t="shared" si="15"/>
        <v>0</v>
      </c>
      <c r="F132" s="681">
        <f t="shared" si="16"/>
        <v>0</v>
      </c>
      <c r="G132" s="681">
        <f t="shared" si="17"/>
        <v>0</v>
      </c>
      <c r="H132" s="645">
        <f t="shared" si="24"/>
        <v>0</v>
      </c>
      <c r="I132" s="628">
        <f t="shared" si="19"/>
        <v>0</v>
      </c>
      <c r="J132" s="685">
        <f t="shared" ref="J132:J155" si="25">+I542-H542</f>
        <v>0</v>
      </c>
      <c r="K132" s="685"/>
      <c r="L132" s="130"/>
      <c r="M132" s="685">
        <f t="shared" ref="M132:M155" si="26">IF(L542&lt;&gt;0,+H542-L542,0)</f>
        <v>0</v>
      </c>
      <c r="N132" s="130"/>
      <c r="O132" s="685">
        <f t="shared" ref="O132:O155" si="27">IF(N542&lt;&gt;0,+I542-N542,0)</f>
        <v>0</v>
      </c>
      <c r="P132" s="685">
        <f t="shared" ref="P132:P155" si="28">+O542-M542</f>
        <v>0</v>
      </c>
    </row>
    <row r="133" spans="2:16">
      <c r="B133" t="str">
        <f t="shared" si="10"/>
        <v/>
      </c>
      <c r="C133" s="678">
        <f>IF(D94="","-",+C132+1)</f>
        <v>2055</v>
      </c>
      <c r="D133" s="679">
        <f>IF(F132+SUM(E$100:E132)=D$93,F132,D$93-SUM(E$100:E132))</f>
        <v>0</v>
      </c>
      <c r="E133" s="510">
        <f t="shared" si="15"/>
        <v>0</v>
      </c>
      <c r="F133" s="681">
        <f t="shared" si="16"/>
        <v>0</v>
      </c>
      <c r="G133" s="681">
        <f t="shared" si="17"/>
        <v>0</v>
      </c>
      <c r="H133" s="645">
        <f t="shared" si="24"/>
        <v>0</v>
      </c>
      <c r="I133" s="628">
        <f t="shared" si="19"/>
        <v>0</v>
      </c>
      <c r="J133" s="685">
        <f t="shared" si="25"/>
        <v>0</v>
      </c>
      <c r="K133" s="685"/>
      <c r="L133" s="130"/>
      <c r="M133" s="685">
        <f t="shared" si="26"/>
        <v>0</v>
      </c>
      <c r="N133" s="130"/>
      <c r="O133" s="685">
        <f t="shared" si="27"/>
        <v>0</v>
      </c>
      <c r="P133" s="685">
        <f t="shared" si="28"/>
        <v>0</v>
      </c>
    </row>
    <row r="134" spans="2:16">
      <c r="B134" t="str">
        <f t="shared" si="10"/>
        <v/>
      </c>
      <c r="C134" s="678">
        <f>IF(D94="","-",+C133+1)</f>
        <v>2056</v>
      </c>
      <c r="D134" s="679">
        <f>IF(F133+SUM(E$100:E133)=D$93,F133,D$93-SUM(E$100:E133))</f>
        <v>0</v>
      </c>
      <c r="E134" s="510">
        <f t="shared" si="15"/>
        <v>0</v>
      </c>
      <c r="F134" s="681">
        <f t="shared" si="16"/>
        <v>0</v>
      </c>
      <c r="G134" s="681">
        <f t="shared" si="17"/>
        <v>0</v>
      </c>
      <c r="H134" s="645">
        <f t="shared" si="24"/>
        <v>0</v>
      </c>
      <c r="I134" s="628">
        <f t="shared" si="19"/>
        <v>0</v>
      </c>
      <c r="J134" s="685">
        <f t="shared" si="25"/>
        <v>0</v>
      </c>
      <c r="K134" s="685"/>
      <c r="L134" s="130"/>
      <c r="M134" s="685">
        <f t="shared" si="26"/>
        <v>0</v>
      </c>
      <c r="N134" s="130"/>
      <c r="O134" s="685">
        <f t="shared" si="27"/>
        <v>0</v>
      </c>
      <c r="P134" s="685">
        <f t="shared" si="28"/>
        <v>0</v>
      </c>
    </row>
    <row r="135" spans="2:16">
      <c r="B135" t="str">
        <f t="shared" si="10"/>
        <v/>
      </c>
      <c r="C135" s="678">
        <f>IF(D94="","-",+C134+1)</f>
        <v>2057</v>
      </c>
      <c r="D135" s="679">
        <f>IF(F134+SUM(E$100:E134)=D$93,F134,D$93-SUM(E$100:E134))</f>
        <v>0</v>
      </c>
      <c r="E135" s="510">
        <f t="shared" si="15"/>
        <v>0</v>
      </c>
      <c r="F135" s="681">
        <f t="shared" si="16"/>
        <v>0</v>
      </c>
      <c r="G135" s="681">
        <f t="shared" si="17"/>
        <v>0</v>
      </c>
      <c r="H135" s="645">
        <f t="shared" si="24"/>
        <v>0</v>
      </c>
      <c r="I135" s="628">
        <f t="shared" si="19"/>
        <v>0</v>
      </c>
      <c r="J135" s="685">
        <f t="shared" si="25"/>
        <v>0</v>
      </c>
      <c r="K135" s="685"/>
      <c r="L135" s="130"/>
      <c r="M135" s="685">
        <f t="shared" si="26"/>
        <v>0</v>
      </c>
      <c r="N135" s="130"/>
      <c r="O135" s="685">
        <f t="shared" si="27"/>
        <v>0</v>
      </c>
      <c r="P135" s="685">
        <f t="shared" si="28"/>
        <v>0</v>
      </c>
    </row>
    <row r="136" spans="2:16">
      <c r="B136" t="str">
        <f t="shared" si="10"/>
        <v/>
      </c>
      <c r="C136" s="678">
        <f>IF(D94="","-",+C135+1)</f>
        <v>2058</v>
      </c>
      <c r="D136" s="679">
        <f>IF(F135+SUM(E$100:E135)=D$93,F135,D$93-SUM(E$100:E135))</f>
        <v>0</v>
      </c>
      <c r="E136" s="510">
        <f t="shared" si="15"/>
        <v>0</v>
      </c>
      <c r="F136" s="681">
        <f t="shared" si="16"/>
        <v>0</v>
      </c>
      <c r="G136" s="681">
        <f t="shared" si="17"/>
        <v>0</v>
      </c>
      <c r="H136" s="645">
        <f t="shared" si="24"/>
        <v>0</v>
      </c>
      <c r="I136" s="628">
        <f t="shared" si="19"/>
        <v>0</v>
      </c>
      <c r="J136" s="685">
        <f t="shared" si="25"/>
        <v>0</v>
      </c>
      <c r="K136" s="685"/>
      <c r="L136" s="130"/>
      <c r="M136" s="685">
        <f t="shared" si="26"/>
        <v>0</v>
      </c>
      <c r="N136" s="130"/>
      <c r="O136" s="685">
        <f t="shared" si="27"/>
        <v>0</v>
      </c>
      <c r="P136" s="685">
        <f t="shared" si="28"/>
        <v>0</v>
      </c>
    </row>
    <row r="137" spans="2:16">
      <c r="B137" t="str">
        <f t="shared" si="10"/>
        <v/>
      </c>
      <c r="C137" s="678">
        <f>IF(D94="","-",+C136+1)</f>
        <v>2059</v>
      </c>
      <c r="D137" s="679">
        <f>IF(F136+SUM(E$100:E136)=D$93,F136,D$93-SUM(E$100:E136))</f>
        <v>0</v>
      </c>
      <c r="E137" s="510">
        <f t="shared" si="15"/>
        <v>0</v>
      </c>
      <c r="F137" s="681">
        <f t="shared" si="16"/>
        <v>0</v>
      </c>
      <c r="G137" s="681">
        <f t="shared" si="17"/>
        <v>0</v>
      </c>
      <c r="H137" s="645">
        <f t="shared" si="24"/>
        <v>0</v>
      </c>
      <c r="I137" s="628">
        <f t="shared" si="19"/>
        <v>0</v>
      </c>
      <c r="J137" s="685">
        <f t="shared" si="25"/>
        <v>0</v>
      </c>
      <c r="K137" s="685"/>
      <c r="L137" s="130"/>
      <c r="M137" s="685">
        <f t="shared" si="26"/>
        <v>0</v>
      </c>
      <c r="N137" s="130"/>
      <c r="O137" s="685">
        <f t="shared" si="27"/>
        <v>0</v>
      </c>
      <c r="P137" s="685">
        <f t="shared" si="28"/>
        <v>0</v>
      </c>
    </row>
    <row r="138" spans="2:16">
      <c r="B138" t="str">
        <f t="shared" si="10"/>
        <v/>
      </c>
      <c r="C138" s="678">
        <f>IF(D94="","-",+C137+1)</f>
        <v>2060</v>
      </c>
      <c r="D138" s="679">
        <f>IF(F137+SUM(E$100:E137)=D$93,F137,D$93-SUM(E$100:E137))</f>
        <v>0</v>
      </c>
      <c r="E138" s="510">
        <f t="shared" si="15"/>
        <v>0</v>
      </c>
      <c r="F138" s="681">
        <f t="shared" si="16"/>
        <v>0</v>
      </c>
      <c r="G138" s="681">
        <f t="shared" si="17"/>
        <v>0</v>
      </c>
      <c r="H138" s="645">
        <f t="shared" si="24"/>
        <v>0</v>
      </c>
      <c r="I138" s="628">
        <f t="shared" si="19"/>
        <v>0</v>
      </c>
      <c r="J138" s="685">
        <f t="shared" si="25"/>
        <v>0</v>
      </c>
      <c r="K138" s="685"/>
      <c r="L138" s="130"/>
      <c r="M138" s="685">
        <f t="shared" si="26"/>
        <v>0</v>
      </c>
      <c r="N138" s="130"/>
      <c r="O138" s="685">
        <f t="shared" si="27"/>
        <v>0</v>
      </c>
      <c r="P138" s="685">
        <f t="shared" si="28"/>
        <v>0</v>
      </c>
    </row>
    <row r="139" spans="2:16">
      <c r="B139" t="str">
        <f t="shared" si="10"/>
        <v/>
      </c>
      <c r="C139" s="678">
        <f>IF(D94="","-",+C138+1)</f>
        <v>2061</v>
      </c>
      <c r="D139" s="679">
        <f>IF(F138+SUM(E$100:E138)=D$93,F138,D$93-SUM(E$100:E138))</f>
        <v>0</v>
      </c>
      <c r="E139" s="510">
        <f t="shared" si="15"/>
        <v>0</v>
      </c>
      <c r="F139" s="681">
        <f t="shared" si="16"/>
        <v>0</v>
      </c>
      <c r="G139" s="681">
        <f t="shared" si="17"/>
        <v>0</v>
      </c>
      <c r="H139" s="645">
        <f t="shared" si="24"/>
        <v>0</v>
      </c>
      <c r="I139" s="628">
        <f t="shared" si="19"/>
        <v>0</v>
      </c>
      <c r="J139" s="685">
        <f t="shared" si="25"/>
        <v>0</v>
      </c>
      <c r="K139" s="685"/>
      <c r="L139" s="130"/>
      <c r="M139" s="685">
        <f t="shared" si="26"/>
        <v>0</v>
      </c>
      <c r="N139" s="130"/>
      <c r="O139" s="685">
        <f t="shared" si="27"/>
        <v>0</v>
      </c>
      <c r="P139" s="685">
        <f t="shared" si="28"/>
        <v>0</v>
      </c>
    </row>
    <row r="140" spans="2:16">
      <c r="B140" t="str">
        <f t="shared" si="10"/>
        <v/>
      </c>
      <c r="C140" s="678">
        <f>IF(D94="","-",+C139+1)</f>
        <v>2062</v>
      </c>
      <c r="D140" s="679">
        <f>IF(F139+SUM(E$100:E139)=D$93,F139,D$93-SUM(E$100:E139))</f>
        <v>0</v>
      </c>
      <c r="E140" s="510">
        <f t="shared" si="15"/>
        <v>0</v>
      </c>
      <c r="F140" s="681">
        <f t="shared" si="16"/>
        <v>0</v>
      </c>
      <c r="G140" s="681">
        <f t="shared" si="17"/>
        <v>0</v>
      </c>
      <c r="H140" s="645">
        <f t="shared" si="24"/>
        <v>0</v>
      </c>
      <c r="I140" s="628">
        <f t="shared" si="19"/>
        <v>0</v>
      </c>
      <c r="J140" s="685">
        <f t="shared" si="25"/>
        <v>0</v>
      </c>
      <c r="K140" s="685"/>
      <c r="L140" s="130"/>
      <c r="M140" s="685">
        <f t="shared" si="26"/>
        <v>0</v>
      </c>
      <c r="N140" s="130"/>
      <c r="O140" s="685">
        <f t="shared" si="27"/>
        <v>0</v>
      </c>
      <c r="P140" s="685">
        <f t="shared" si="28"/>
        <v>0</v>
      </c>
    </row>
    <row r="141" spans="2:16">
      <c r="B141" t="str">
        <f t="shared" si="10"/>
        <v/>
      </c>
      <c r="C141" s="678">
        <f>IF(D94="","-",+C140+1)</f>
        <v>2063</v>
      </c>
      <c r="D141" s="679">
        <f>IF(F140+SUM(E$100:E140)=D$93,F140,D$93-SUM(E$100:E140))</f>
        <v>0</v>
      </c>
      <c r="E141" s="510">
        <f t="shared" si="15"/>
        <v>0</v>
      </c>
      <c r="F141" s="681">
        <f t="shared" si="16"/>
        <v>0</v>
      </c>
      <c r="G141" s="681">
        <f t="shared" si="17"/>
        <v>0</v>
      </c>
      <c r="H141" s="645">
        <f t="shared" si="24"/>
        <v>0</v>
      </c>
      <c r="I141" s="628">
        <f t="shared" si="19"/>
        <v>0</v>
      </c>
      <c r="J141" s="685">
        <f t="shared" si="25"/>
        <v>0</v>
      </c>
      <c r="K141" s="685"/>
      <c r="L141" s="130"/>
      <c r="M141" s="685">
        <f t="shared" si="26"/>
        <v>0</v>
      </c>
      <c r="N141" s="130"/>
      <c r="O141" s="685">
        <f t="shared" si="27"/>
        <v>0</v>
      </c>
      <c r="P141" s="685">
        <f t="shared" si="28"/>
        <v>0</v>
      </c>
    </row>
    <row r="142" spans="2:16">
      <c r="B142" t="str">
        <f t="shared" si="10"/>
        <v/>
      </c>
      <c r="C142" s="678">
        <f>IF(D94="","-",+C141+1)</f>
        <v>2064</v>
      </c>
      <c r="D142" s="679">
        <f>IF(F141+SUM(E$100:E141)=D$93,F141,D$93-SUM(E$100:E141))</f>
        <v>0</v>
      </c>
      <c r="E142" s="510">
        <f t="shared" si="15"/>
        <v>0</v>
      </c>
      <c r="F142" s="681">
        <f t="shared" si="16"/>
        <v>0</v>
      </c>
      <c r="G142" s="681">
        <f t="shared" si="17"/>
        <v>0</v>
      </c>
      <c r="H142" s="645">
        <f t="shared" si="24"/>
        <v>0</v>
      </c>
      <c r="I142" s="628">
        <f t="shared" si="19"/>
        <v>0</v>
      </c>
      <c r="J142" s="685">
        <f t="shared" si="25"/>
        <v>0</v>
      </c>
      <c r="K142" s="685"/>
      <c r="L142" s="130"/>
      <c r="M142" s="685">
        <f t="shared" si="26"/>
        <v>0</v>
      </c>
      <c r="N142" s="130"/>
      <c r="O142" s="685">
        <f t="shared" si="27"/>
        <v>0</v>
      </c>
      <c r="P142" s="685">
        <f t="shared" si="28"/>
        <v>0</v>
      </c>
    </row>
    <row r="143" spans="2:16">
      <c r="B143" t="str">
        <f t="shared" si="10"/>
        <v/>
      </c>
      <c r="C143" s="678">
        <f>IF(D94="","-",+C142+1)</f>
        <v>2065</v>
      </c>
      <c r="D143" s="679">
        <f>IF(F142+SUM(E$100:E142)=D$93,F142,D$93-SUM(E$100:E142))</f>
        <v>0</v>
      </c>
      <c r="E143" s="510">
        <f t="shared" si="15"/>
        <v>0</v>
      </c>
      <c r="F143" s="681">
        <f t="shared" si="16"/>
        <v>0</v>
      </c>
      <c r="G143" s="681">
        <f t="shared" si="17"/>
        <v>0</v>
      </c>
      <c r="H143" s="645">
        <f t="shared" si="24"/>
        <v>0</v>
      </c>
      <c r="I143" s="628">
        <f t="shared" si="19"/>
        <v>0</v>
      </c>
      <c r="J143" s="685">
        <f t="shared" si="25"/>
        <v>0</v>
      </c>
      <c r="K143" s="685"/>
      <c r="L143" s="130"/>
      <c r="M143" s="685">
        <f t="shared" si="26"/>
        <v>0</v>
      </c>
      <c r="N143" s="130"/>
      <c r="O143" s="685">
        <f t="shared" si="27"/>
        <v>0</v>
      </c>
      <c r="P143" s="685">
        <f t="shared" si="28"/>
        <v>0</v>
      </c>
    </row>
    <row r="144" spans="2:16">
      <c r="B144" t="str">
        <f t="shared" si="10"/>
        <v/>
      </c>
      <c r="C144" s="678">
        <f>IF(D94="","-",+C143+1)</f>
        <v>2066</v>
      </c>
      <c r="D144" s="679">
        <f>IF(F143+SUM(E$100:E143)=D$93,F143,D$93-SUM(E$100:E143))</f>
        <v>0</v>
      </c>
      <c r="E144" s="510">
        <f t="shared" si="15"/>
        <v>0</v>
      </c>
      <c r="F144" s="681">
        <f t="shared" si="16"/>
        <v>0</v>
      </c>
      <c r="G144" s="681">
        <f t="shared" si="17"/>
        <v>0</v>
      </c>
      <c r="H144" s="645">
        <f t="shared" si="24"/>
        <v>0</v>
      </c>
      <c r="I144" s="628">
        <f t="shared" si="19"/>
        <v>0</v>
      </c>
      <c r="J144" s="685">
        <f t="shared" si="25"/>
        <v>0</v>
      </c>
      <c r="K144" s="685"/>
      <c r="L144" s="130"/>
      <c r="M144" s="685">
        <f t="shared" si="26"/>
        <v>0</v>
      </c>
      <c r="N144" s="130"/>
      <c r="O144" s="685">
        <f t="shared" si="27"/>
        <v>0</v>
      </c>
      <c r="P144" s="685">
        <f t="shared" si="28"/>
        <v>0</v>
      </c>
    </row>
    <row r="145" spans="2:16">
      <c r="B145" t="str">
        <f t="shared" si="10"/>
        <v/>
      </c>
      <c r="C145" s="678">
        <f>IF(D94="","-",+C144+1)</f>
        <v>2067</v>
      </c>
      <c r="D145" s="679">
        <f>IF(F144+SUM(E$100:E144)=D$93,F144,D$93-SUM(E$100:E144))</f>
        <v>0</v>
      </c>
      <c r="E145" s="510">
        <f t="shared" si="15"/>
        <v>0</v>
      </c>
      <c r="F145" s="681">
        <f t="shared" si="16"/>
        <v>0</v>
      </c>
      <c r="G145" s="681">
        <f t="shared" si="17"/>
        <v>0</v>
      </c>
      <c r="H145" s="645">
        <f t="shared" si="24"/>
        <v>0</v>
      </c>
      <c r="I145" s="628">
        <f t="shared" si="19"/>
        <v>0</v>
      </c>
      <c r="J145" s="685">
        <f t="shared" si="25"/>
        <v>0</v>
      </c>
      <c r="K145" s="685"/>
      <c r="L145" s="130"/>
      <c r="M145" s="685">
        <f t="shared" si="26"/>
        <v>0</v>
      </c>
      <c r="N145" s="130"/>
      <c r="O145" s="685">
        <f t="shared" si="27"/>
        <v>0</v>
      </c>
      <c r="P145" s="685">
        <f t="shared" si="28"/>
        <v>0</v>
      </c>
    </row>
    <row r="146" spans="2:16">
      <c r="B146" t="str">
        <f t="shared" si="10"/>
        <v/>
      </c>
      <c r="C146" s="678">
        <f>IF(D94="","-",+C145+1)</f>
        <v>2068</v>
      </c>
      <c r="D146" s="679">
        <f>IF(F145+SUM(E$100:E145)=D$93,F145,D$93-SUM(E$100:E145))</f>
        <v>0</v>
      </c>
      <c r="E146" s="510">
        <f t="shared" si="15"/>
        <v>0</v>
      </c>
      <c r="F146" s="681">
        <f t="shared" si="16"/>
        <v>0</v>
      </c>
      <c r="G146" s="681">
        <f t="shared" si="17"/>
        <v>0</v>
      </c>
      <c r="H146" s="645">
        <f t="shared" si="24"/>
        <v>0</v>
      </c>
      <c r="I146" s="628">
        <f t="shared" si="19"/>
        <v>0</v>
      </c>
      <c r="J146" s="685">
        <f t="shared" si="25"/>
        <v>0</v>
      </c>
      <c r="K146" s="685"/>
      <c r="L146" s="130"/>
      <c r="M146" s="685">
        <f t="shared" si="26"/>
        <v>0</v>
      </c>
      <c r="N146" s="130"/>
      <c r="O146" s="685">
        <f t="shared" si="27"/>
        <v>0</v>
      </c>
      <c r="P146" s="685">
        <f t="shared" si="28"/>
        <v>0</v>
      </c>
    </row>
    <row r="147" spans="2:16">
      <c r="B147" t="str">
        <f t="shared" si="10"/>
        <v/>
      </c>
      <c r="C147" s="678">
        <f>IF(D94="","-",+C146+1)</f>
        <v>2069</v>
      </c>
      <c r="D147" s="679">
        <f>IF(F146+SUM(E$100:E146)=D$93,F146,D$93-SUM(E$100:E146))</f>
        <v>0</v>
      </c>
      <c r="E147" s="510">
        <f t="shared" si="15"/>
        <v>0</v>
      </c>
      <c r="F147" s="681">
        <f t="shared" si="16"/>
        <v>0</v>
      </c>
      <c r="G147" s="681">
        <f t="shared" si="17"/>
        <v>0</v>
      </c>
      <c r="H147" s="645">
        <f t="shared" si="24"/>
        <v>0</v>
      </c>
      <c r="I147" s="628">
        <f t="shared" si="19"/>
        <v>0</v>
      </c>
      <c r="J147" s="685">
        <f t="shared" si="25"/>
        <v>0</v>
      </c>
      <c r="K147" s="685"/>
      <c r="L147" s="130"/>
      <c r="M147" s="685">
        <f t="shared" si="26"/>
        <v>0</v>
      </c>
      <c r="N147" s="130"/>
      <c r="O147" s="685">
        <f t="shared" si="27"/>
        <v>0</v>
      </c>
      <c r="P147" s="685">
        <f t="shared" si="28"/>
        <v>0</v>
      </c>
    </row>
    <row r="148" spans="2:16">
      <c r="B148" t="str">
        <f t="shared" si="10"/>
        <v/>
      </c>
      <c r="C148" s="678">
        <f>IF(D94="","-",+C147+1)</f>
        <v>2070</v>
      </c>
      <c r="D148" s="679">
        <f>IF(F147+SUM(E$100:E147)=D$93,F147,D$93-SUM(E$100:E147))</f>
        <v>0</v>
      </c>
      <c r="E148" s="510">
        <f t="shared" si="15"/>
        <v>0</v>
      </c>
      <c r="F148" s="681">
        <f t="shared" si="16"/>
        <v>0</v>
      </c>
      <c r="G148" s="681">
        <f t="shared" si="17"/>
        <v>0</v>
      </c>
      <c r="H148" s="645">
        <f t="shared" si="24"/>
        <v>0</v>
      </c>
      <c r="I148" s="628">
        <f t="shared" si="19"/>
        <v>0</v>
      </c>
      <c r="J148" s="685">
        <f t="shared" si="25"/>
        <v>0</v>
      </c>
      <c r="K148" s="685"/>
      <c r="L148" s="130"/>
      <c r="M148" s="685">
        <f t="shared" si="26"/>
        <v>0</v>
      </c>
      <c r="N148" s="130"/>
      <c r="O148" s="685">
        <f t="shared" si="27"/>
        <v>0</v>
      </c>
      <c r="P148" s="685">
        <f t="shared" si="28"/>
        <v>0</v>
      </c>
    </row>
    <row r="149" spans="2:16">
      <c r="B149" t="str">
        <f t="shared" si="10"/>
        <v/>
      </c>
      <c r="C149" s="678">
        <f>IF(D94="","-",+C148+1)</f>
        <v>2071</v>
      </c>
      <c r="D149" s="679">
        <f>IF(F148+SUM(E$100:E148)=D$93,F148,D$93-SUM(E$100:E148))</f>
        <v>0</v>
      </c>
      <c r="E149" s="510">
        <f t="shared" si="15"/>
        <v>0</v>
      </c>
      <c r="F149" s="681">
        <f t="shared" si="16"/>
        <v>0</v>
      </c>
      <c r="G149" s="681">
        <f t="shared" si="17"/>
        <v>0</v>
      </c>
      <c r="H149" s="645">
        <f t="shared" si="24"/>
        <v>0</v>
      </c>
      <c r="I149" s="628">
        <f t="shared" si="19"/>
        <v>0</v>
      </c>
      <c r="J149" s="685">
        <f t="shared" si="25"/>
        <v>0</v>
      </c>
      <c r="K149" s="685"/>
      <c r="L149" s="130"/>
      <c r="M149" s="685">
        <f t="shared" si="26"/>
        <v>0</v>
      </c>
      <c r="N149" s="130"/>
      <c r="O149" s="685">
        <f t="shared" si="27"/>
        <v>0</v>
      </c>
      <c r="P149" s="685">
        <f t="shared" si="28"/>
        <v>0</v>
      </c>
    </row>
    <row r="150" spans="2:16">
      <c r="B150" t="str">
        <f t="shared" si="10"/>
        <v/>
      </c>
      <c r="C150" s="678">
        <f>IF(D94="","-",+C149+1)</f>
        <v>2072</v>
      </c>
      <c r="D150" s="679">
        <f>IF(F149+SUM(E$100:E149)=D$93,F149,D$93-SUM(E$100:E149))</f>
        <v>0</v>
      </c>
      <c r="E150" s="510">
        <f t="shared" si="15"/>
        <v>0</v>
      </c>
      <c r="F150" s="681">
        <f t="shared" si="16"/>
        <v>0</v>
      </c>
      <c r="G150" s="681">
        <f t="shared" si="17"/>
        <v>0</v>
      </c>
      <c r="H150" s="645">
        <f t="shared" si="24"/>
        <v>0</v>
      </c>
      <c r="I150" s="628">
        <f t="shared" si="19"/>
        <v>0</v>
      </c>
      <c r="J150" s="685">
        <f t="shared" si="25"/>
        <v>0</v>
      </c>
      <c r="K150" s="685"/>
      <c r="L150" s="130"/>
      <c r="M150" s="685">
        <f t="shared" si="26"/>
        <v>0</v>
      </c>
      <c r="N150" s="130"/>
      <c r="O150" s="685">
        <f t="shared" si="27"/>
        <v>0</v>
      </c>
      <c r="P150" s="685">
        <f t="shared" si="28"/>
        <v>0</v>
      </c>
    </row>
    <row r="151" spans="2:16">
      <c r="B151" t="str">
        <f t="shared" si="10"/>
        <v/>
      </c>
      <c r="C151" s="678">
        <f>IF(D94="","-",+C150+1)</f>
        <v>2073</v>
      </c>
      <c r="D151" s="679">
        <f>IF(F150+SUM(E$100:E150)=D$93,F150,D$93-SUM(E$100:E150))</f>
        <v>0</v>
      </c>
      <c r="E151" s="510">
        <f t="shared" si="15"/>
        <v>0</v>
      </c>
      <c r="F151" s="681">
        <f t="shared" si="16"/>
        <v>0</v>
      </c>
      <c r="G151" s="681">
        <f t="shared" si="17"/>
        <v>0</v>
      </c>
      <c r="H151" s="645">
        <f t="shared" si="24"/>
        <v>0</v>
      </c>
      <c r="I151" s="628">
        <f t="shared" si="19"/>
        <v>0</v>
      </c>
      <c r="J151" s="685">
        <f t="shared" si="25"/>
        <v>0</v>
      </c>
      <c r="K151" s="685"/>
      <c r="L151" s="130"/>
      <c r="M151" s="685">
        <f t="shared" si="26"/>
        <v>0</v>
      </c>
      <c r="N151" s="130"/>
      <c r="O151" s="685">
        <f t="shared" si="27"/>
        <v>0</v>
      </c>
      <c r="P151" s="685">
        <f t="shared" si="28"/>
        <v>0</v>
      </c>
    </row>
    <row r="152" spans="2:16">
      <c r="B152" t="str">
        <f t="shared" si="10"/>
        <v/>
      </c>
      <c r="C152" s="678">
        <f>IF(D94="","-",+C151+1)</f>
        <v>2074</v>
      </c>
      <c r="D152" s="679">
        <f>IF(F151+SUM(E$100:E151)=D$93,F151,D$93-SUM(E$100:E151))</f>
        <v>0</v>
      </c>
      <c r="E152" s="510">
        <f t="shared" si="15"/>
        <v>0</v>
      </c>
      <c r="F152" s="681">
        <f t="shared" si="16"/>
        <v>0</v>
      </c>
      <c r="G152" s="681">
        <f t="shared" si="17"/>
        <v>0</v>
      </c>
      <c r="H152" s="645">
        <f t="shared" si="24"/>
        <v>0</v>
      </c>
      <c r="I152" s="628">
        <f t="shared" si="19"/>
        <v>0</v>
      </c>
      <c r="J152" s="685">
        <f t="shared" si="25"/>
        <v>0</v>
      </c>
      <c r="K152" s="685"/>
      <c r="L152" s="130"/>
      <c r="M152" s="685">
        <f t="shared" si="26"/>
        <v>0</v>
      </c>
      <c r="N152" s="130"/>
      <c r="O152" s="685">
        <f t="shared" si="27"/>
        <v>0</v>
      </c>
      <c r="P152" s="685">
        <f t="shared" si="28"/>
        <v>0</v>
      </c>
    </row>
    <row r="153" spans="2:16">
      <c r="B153" t="str">
        <f t="shared" si="10"/>
        <v/>
      </c>
      <c r="C153" s="678">
        <f>IF(D94="","-",+C152+1)</f>
        <v>2075</v>
      </c>
      <c r="D153" s="679">
        <f>IF(F152+SUM(E$100:E152)=D$93,F152,D$93-SUM(E$100:E152))</f>
        <v>0</v>
      </c>
      <c r="E153" s="510">
        <f t="shared" si="15"/>
        <v>0</v>
      </c>
      <c r="F153" s="681">
        <f t="shared" si="16"/>
        <v>0</v>
      </c>
      <c r="G153" s="681">
        <f t="shared" si="17"/>
        <v>0</v>
      </c>
      <c r="H153" s="645">
        <f t="shared" si="24"/>
        <v>0</v>
      </c>
      <c r="I153" s="628">
        <f t="shared" si="19"/>
        <v>0</v>
      </c>
      <c r="J153" s="685">
        <f t="shared" si="25"/>
        <v>0</v>
      </c>
      <c r="K153" s="685"/>
      <c r="L153" s="130"/>
      <c r="M153" s="685">
        <f t="shared" si="26"/>
        <v>0</v>
      </c>
      <c r="N153" s="130"/>
      <c r="O153" s="685">
        <f t="shared" si="27"/>
        <v>0</v>
      </c>
      <c r="P153" s="685">
        <f t="shared" si="28"/>
        <v>0</v>
      </c>
    </row>
    <row r="154" spans="2:16">
      <c r="B154" t="str">
        <f t="shared" si="10"/>
        <v/>
      </c>
      <c r="C154" s="678">
        <f>IF(D94="","-",+C153+1)</f>
        <v>2076</v>
      </c>
      <c r="D154" s="679">
        <f>IF(F153+SUM(E$100:E153)=D$93,F153,D$93-SUM(E$100:E153))</f>
        <v>0</v>
      </c>
      <c r="E154" s="510">
        <f t="shared" si="15"/>
        <v>0</v>
      </c>
      <c r="F154" s="681">
        <f t="shared" si="16"/>
        <v>0</v>
      </c>
      <c r="G154" s="681">
        <f t="shared" si="17"/>
        <v>0</v>
      </c>
      <c r="H154" s="645">
        <f t="shared" si="24"/>
        <v>0</v>
      </c>
      <c r="I154" s="628">
        <f t="shared" si="19"/>
        <v>0</v>
      </c>
      <c r="J154" s="685">
        <f t="shared" si="25"/>
        <v>0</v>
      </c>
      <c r="K154" s="685"/>
      <c r="L154" s="130"/>
      <c r="M154" s="685">
        <f t="shared" si="26"/>
        <v>0</v>
      </c>
      <c r="N154" s="130"/>
      <c r="O154" s="685">
        <f t="shared" si="27"/>
        <v>0</v>
      </c>
      <c r="P154" s="685">
        <f t="shared" si="28"/>
        <v>0</v>
      </c>
    </row>
    <row r="155" spans="2:16" ht="13" thickBot="1">
      <c r="B155" t="str">
        <f t="shared" si="10"/>
        <v/>
      </c>
      <c r="C155" s="688">
        <f>IF(D94="","-",+C154+1)</f>
        <v>2077</v>
      </c>
      <c r="D155" s="715">
        <f>IF(F154+SUM(E$100:E154)=D$93,F154,D$93-SUM(E$100:E154))</f>
        <v>0</v>
      </c>
      <c r="E155" s="527">
        <f t="shared" si="15"/>
        <v>0</v>
      </c>
      <c r="F155" s="689">
        <f t="shared" si="16"/>
        <v>0</v>
      </c>
      <c r="G155" s="689">
        <f t="shared" si="17"/>
        <v>0</v>
      </c>
      <c r="H155" s="645">
        <f t="shared" si="24"/>
        <v>0</v>
      </c>
      <c r="I155" s="624">
        <f t="shared" si="19"/>
        <v>0</v>
      </c>
      <c r="J155" s="692">
        <f t="shared" si="25"/>
        <v>0</v>
      </c>
      <c r="K155" s="685"/>
      <c r="L155" s="131"/>
      <c r="M155" s="692">
        <f t="shared" si="26"/>
        <v>0</v>
      </c>
      <c r="N155" s="131"/>
      <c r="O155" s="692">
        <f t="shared" si="27"/>
        <v>0</v>
      </c>
      <c r="P155" s="692">
        <f t="shared" si="28"/>
        <v>0</v>
      </c>
    </row>
    <row r="156" spans="2:16">
      <c r="C156" s="679" t="s">
        <v>75</v>
      </c>
      <c r="D156" s="659"/>
      <c r="E156" s="659">
        <f>SUM(E100:E155)</f>
        <v>3900461.0099999993</v>
      </c>
      <c r="F156" s="659"/>
      <c r="G156" s="659"/>
      <c r="H156" s="659">
        <f>SUM(H100:H155)</f>
        <v>8749920.3307484034</v>
      </c>
      <c r="I156" s="659">
        <f>SUM(I100:I155)</f>
        <v>8749920.3307484034</v>
      </c>
      <c r="J156" s="659">
        <f>SUM(J100:J155)</f>
        <v>0</v>
      </c>
      <c r="K156" s="659"/>
      <c r="L156" s="659"/>
      <c r="M156" s="659"/>
      <c r="N156" s="659"/>
      <c r="O156" s="659"/>
      <c r="P156" s="652"/>
    </row>
    <row r="157" spans="2:16">
      <c r="C157" t="s">
        <v>90</v>
      </c>
      <c r="D157" s="653"/>
      <c r="E157" s="652"/>
      <c r="F157" s="652"/>
      <c r="G157" s="652"/>
      <c r="H157" s="652"/>
      <c r="I157" s="655"/>
      <c r="J157" s="655"/>
      <c r="K157" s="659"/>
      <c r="L157" s="655"/>
      <c r="M157" s="655"/>
      <c r="N157" s="655"/>
      <c r="O157" s="655"/>
      <c r="P157" s="652"/>
    </row>
    <row r="158" spans="2:16">
      <c r="C158" s="100"/>
      <c r="D158" s="653"/>
      <c r="E158" s="652"/>
      <c r="F158" s="652"/>
      <c r="G158" s="652"/>
      <c r="H158" s="652"/>
      <c r="I158" s="655"/>
      <c r="J158" s="655"/>
      <c r="K158" s="659"/>
      <c r="L158" s="655"/>
      <c r="M158" s="655"/>
      <c r="N158" s="655"/>
      <c r="O158" s="655"/>
      <c r="P158" s="652"/>
    </row>
    <row r="159" spans="2:16" ht="13">
      <c r="C159" s="115" t="s">
        <v>130</v>
      </c>
      <c r="D159" s="653"/>
      <c r="E159" s="652"/>
      <c r="F159" s="652"/>
      <c r="G159" s="652"/>
      <c r="H159" s="652"/>
      <c r="I159" s="655"/>
      <c r="J159" s="655"/>
      <c r="K159" s="659"/>
      <c r="L159" s="655"/>
      <c r="M159" s="655"/>
      <c r="N159" s="655"/>
      <c r="O159" s="655"/>
      <c r="P159" s="652"/>
    </row>
    <row r="160" spans="2:16" ht="13">
      <c r="C160" s="662" t="s">
        <v>76</v>
      </c>
      <c r="D160" s="679"/>
      <c r="E160" s="679"/>
      <c r="F160" s="679"/>
      <c r="G160" s="679"/>
      <c r="H160" s="659"/>
      <c r="I160" s="659"/>
      <c r="J160" s="693"/>
      <c r="K160" s="693"/>
      <c r="L160" s="693"/>
      <c r="M160" s="693"/>
      <c r="N160" s="693"/>
      <c r="O160" s="693"/>
      <c r="P160" s="652"/>
    </row>
    <row r="161" spans="3:16" ht="13">
      <c r="C161" s="716" t="s">
        <v>77</v>
      </c>
      <c r="D161" s="679"/>
      <c r="E161" s="679"/>
      <c r="F161" s="679"/>
      <c r="G161" s="679"/>
      <c r="H161" s="659"/>
      <c r="I161" s="659"/>
      <c r="J161" s="693"/>
      <c r="K161" s="693"/>
      <c r="L161" s="693"/>
      <c r="M161" s="693"/>
      <c r="N161" s="693"/>
      <c r="O161" s="693"/>
      <c r="P161" s="652"/>
    </row>
    <row r="162" spans="3:16" ht="13">
      <c r="C162" s="716"/>
      <c r="D162" s="679"/>
      <c r="E162" s="679"/>
      <c r="F162" s="679"/>
      <c r="G162" s="679"/>
      <c r="H162" s="659"/>
      <c r="I162" s="659"/>
      <c r="J162" s="693"/>
      <c r="K162" s="693"/>
      <c r="L162" s="693"/>
      <c r="M162" s="693"/>
      <c r="N162" s="693"/>
      <c r="O162" s="693"/>
      <c r="P162" s="652"/>
    </row>
    <row r="163" spans="3:16" ht="17.5">
      <c r="C163" s="716"/>
      <c r="D163" s="679"/>
      <c r="E163" s="679"/>
      <c r="F163" s="679"/>
      <c r="G163" s="679"/>
      <c r="H163" s="659"/>
      <c r="I163" s="659"/>
      <c r="J163" s="693"/>
      <c r="K163" s="693"/>
      <c r="L163" s="693"/>
      <c r="M163" s="693"/>
      <c r="N163" s="693"/>
      <c r="P163" s="717" t="s">
        <v>129</v>
      </c>
    </row>
  </sheetData>
  <conditionalFormatting sqref="C17:C71 C73">
    <cfRule type="cellIs" dxfId="11" priority="2" stopIfTrue="1" operator="equal">
      <formula>$I$10</formula>
    </cfRule>
  </conditionalFormatting>
  <conditionalFormatting sqref="C100:C155">
    <cfRule type="cellIs" dxfId="10" priority="3" stopIfTrue="1" operator="equal">
      <formula>$J$93</formula>
    </cfRule>
  </conditionalFormatting>
  <conditionalFormatting sqref="C72">
    <cfRule type="cellIs" dxfId="9" priority="1" stopIfTrue="1" operator="equal">
      <formula>$I$10</formula>
    </cfRule>
  </conditionalFormatting>
  <pageMargins left="0.5" right="0.25" top="1" bottom="0.35" header="0.25" footer="0.5"/>
  <pageSetup scale="4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CADE2-3824-4515-8A31-804FB457AA1B}">
  <dimension ref="A1:P163"/>
  <sheetViews>
    <sheetView zoomScale="80" zoomScaleNormal="80" workbookViewId="0"/>
  </sheetViews>
  <sheetFormatPr defaultRowHeight="12.5"/>
  <cols>
    <col min="1" max="1" width="4.7265625" customWidth="1"/>
    <col min="2" max="2" width="6.7265625" customWidth="1"/>
    <col min="3" max="3" width="23.26953125" customWidth="1"/>
    <col min="4" max="8" width="17.7265625" customWidth="1"/>
    <col min="9" max="9" width="20.453125" customWidth="1"/>
    <col min="10" max="10" width="16.453125" customWidth="1"/>
    <col min="11" max="11" width="17.7265625" customWidth="1"/>
    <col min="12" max="12" width="16.1796875" customWidth="1"/>
    <col min="13" max="13" width="17.7265625" customWidth="1"/>
    <col min="14" max="14" width="16.7265625" customWidth="1"/>
    <col min="15" max="15" width="16.81640625" customWidth="1"/>
    <col min="16" max="16" width="24.453125" customWidth="1"/>
  </cols>
  <sheetData>
    <row r="1" spans="1:16" ht="20">
      <c r="A1" s="110" t="s">
        <v>189</v>
      </c>
      <c r="B1" s="652"/>
      <c r="C1" s="652"/>
      <c r="D1" s="653"/>
      <c r="E1" s="652"/>
      <c r="F1" s="654"/>
      <c r="G1" s="652"/>
      <c r="H1" s="655"/>
      <c r="K1" s="18"/>
      <c r="L1" s="18"/>
      <c r="M1" s="18"/>
      <c r="P1" s="656" t="s">
        <v>307</v>
      </c>
    </row>
    <row r="2" spans="1:16" ht="17.5">
      <c r="B2" s="652"/>
      <c r="C2" s="652"/>
      <c r="D2" s="653"/>
      <c r="E2" s="652"/>
      <c r="F2" s="652"/>
      <c r="G2" s="652"/>
      <c r="H2" s="655"/>
      <c r="I2" s="652"/>
      <c r="J2" s="652"/>
      <c r="K2" s="652"/>
      <c r="L2" s="652"/>
      <c r="M2" s="652"/>
      <c r="N2" s="652"/>
      <c r="P2" s="117" t="s">
        <v>131</v>
      </c>
    </row>
    <row r="3" spans="1:16" ht="18">
      <c r="B3" s="657" t="s">
        <v>42</v>
      </c>
      <c r="C3" s="658" t="s">
        <v>43</v>
      </c>
      <c r="D3" s="653"/>
      <c r="E3" s="652"/>
      <c r="F3" s="652"/>
      <c r="G3" s="652"/>
      <c r="H3" s="655"/>
      <c r="I3" s="655"/>
      <c r="J3" s="659"/>
      <c r="K3" s="655"/>
      <c r="L3" s="655"/>
      <c r="M3" s="655"/>
      <c r="N3" s="655"/>
      <c r="O3" s="652"/>
      <c r="P3" s="108">
        <v>1</v>
      </c>
    </row>
    <row r="4" spans="1:16" ht="16" thickBot="1">
      <c r="C4" s="660"/>
      <c r="D4" s="653"/>
      <c r="E4" s="652"/>
      <c r="F4" s="652"/>
      <c r="G4" s="652"/>
      <c r="H4" s="655"/>
      <c r="I4" s="655"/>
      <c r="J4" s="659"/>
      <c r="K4" s="655"/>
      <c r="L4" s="655"/>
      <c r="M4" s="655"/>
      <c r="N4" s="655"/>
      <c r="O4" s="652"/>
      <c r="P4" s="652"/>
    </row>
    <row r="5" spans="1:16" ht="15.5">
      <c r="C5" s="20" t="s">
        <v>44</v>
      </c>
      <c r="D5" s="653"/>
      <c r="E5" s="652"/>
      <c r="F5" s="652"/>
      <c r="G5" s="21"/>
      <c r="H5" s="652" t="s">
        <v>45</v>
      </c>
      <c r="I5" s="652"/>
      <c r="J5" s="652"/>
      <c r="K5" s="22" t="s">
        <v>242</v>
      </c>
      <c r="L5" s="23"/>
      <c r="M5" s="661"/>
      <c r="N5" s="25">
        <f>VLOOKUP(I10,C17:I73,5)</f>
        <v>375963.61969540955</v>
      </c>
      <c r="P5" s="652"/>
    </row>
    <row r="6" spans="1:16" ht="15.5">
      <c r="C6" s="8"/>
      <c r="D6" s="653"/>
      <c r="E6" s="652"/>
      <c r="F6" s="652"/>
      <c r="G6" s="652"/>
      <c r="H6" s="26"/>
      <c r="I6" s="26"/>
      <c r="J6" s="27"/>
      <c r="K6" s="28" t="s">
        <v>243</v>
      </c>
      <c r="L6" s="29"/>
      <c r="M6" s="652"/>
      <c r="N6" s="30">
        <f>VLOOKUP(I10,C17:I73,6)</f>
        <v>375963.61969540955</v>
      </c>
      <c r="O6" s="652"/>
      <c r="P6" s="652"/>
    </row>
    <row r="7" spans="1:16" ht="13.5" thickBot="1">
      <c r="C7" s="662" t="s">
        <v>46</v>
      </c>
      <c r="D7" s="104" t="s">
        <v>296</v>
      </c>
      <c r="E7" s="652"/>
      <c r="F7" s="652"/>
      <c r="G7" s="652"/>
      <c r="H7" s="655"/>
      <c r="I7" s="655"/>
      <c r="J7" s="659"/>
      <c r="K7" s="32" t="s">
        <v>47</v>
      </c>
      <c r="L7" s="663"/>
      <c r="M7" s="663"/>
      <c r="N7" s="664">
        <f>+N6-N5</f>
        <v>0</v>
      </c>
      <c r="O7" s="652"/>
      <c r="P7" s="652"/>
    </row>
    <row r="8" spans="1:16" ht="13.5" thickBot="1">
      <c r="C8" s="665"/>
      <c r="D8" s="100"/>
      <c r="E8" s="666"/>
      <c r="F8" s="666"/>
      <c r="G8" s="666"/>
      <c r="H8" s="666"/>
      <c r="I8" s="666"/>
      <c r="J8" s="666"/>
      <c r="K8" s="666"/>
      <c r="L8" s="666"/>
      <c r="M8" s="666"/>
      <c r="N8" s="666"/>
      <c r="O8" s="666"/>
      <c r="P8" s="652"/>
    </row>
    <row r="9" spans="1:16" ht="13.5" thickBot="1">
      <c r="C9" s="667" t="s">
        <v>48</v>
      </c>
      <c r="D9" s="106" t="s">
        <v>297</v>
      </c>
      <c r="E9" s="668" t="s">
        <v>298</v>
      </c>
      <c r="F9" s="669"/>
      <c r="G9" s="669"/>
      <c r="H9" s="669"/>
      <c r="I9" s="670"/>
      <c r="J9" s="671"/>
      <c r="P9" s="652"/>
    </row>
    <row r="10" spans="1:16" ht="13">
      <c r="C10" s="672" t="s">
        <v>49</v>
      </c>
      <c r="D10" s="43">
        <v>6667707.9799999995</v>
      </c>
      <c r="E10" s="652" t="s">
        <v>50</v>
      </c>
      <c r="G10" s="653"/>
      <c r="H10" s="653"/>
      <c r="I10" s="673">
        <v>2022</v>
      </c>
      <c r="J10" s="671"/>
      <c r="K10" s="659" t="s">
        <v>51</v>
      </c>
      <c r="O10" s="652"/>
      <c r="P10" s="652"/>
    </row>
    <row r="11" spans="1:16">
      <c r="C11" s="672" t="s">
        <v>52</v>
      </c>
      <c r="D11" s="47">
        <v>2022</v>
      </c>
      <c r="E11" s="672" t="s">
        <v>53</v>
      </c>
      <c r="F11" s="653"/>
      <c r="I11" s="674">
        <v>0</v>
      </c>
      <c r="J11" s="675"/>
      <c r="K11" t="str">
        <f>"          INPUT PROJECTED ARR (WITH &amp; WITHOUT INCENTIVES) FROM EACH PRIOR YEAR"</f>
        <v xml:space="preserve">          INPUT PROJECTED ARR (WITH &amp; WITHOUT INCENTIVES) FROM EACH PRIOR YEAR</v>
      </c>
      <c r="O11" s="652"/>
      <c r="P11" s="652"/>
    </row>
    <row r="12" spans="1:16">
      <c r="B12">
        <v>6</v>
      </c>
      <c r="C12" s="672" t="s">
        <v>54</v>
      </c>
      <c r="D12" s="471">
        <v>6</v>
      </c>
      <c r="E12" s="672" t="s">
        <v>55</v>
      </c>
      <c r="F12" s="653"/>
      <c r="I12" s="676">
        <v>0.11475877389767174</v>
      </c>
      <c r="J12" s="654"/>
      <c r="K12" t="s">
        <v>56</v>
      </c>
      <c r="O12" s="652"/>
      <c r="P12" s="652"/>
    </row>
    <row r="13" spans="1:16">
      <c r="C13" s="672" t="s">
        <v>57</v>
      </c>
      <c r="D13" s="674">
        <v>33</v>
      </c>
      <c r="E13" s="672" t="s">
        <v>58</v>
      </c>
      <c r="F13" s="653"/>
      <c r="I13" s="676">
        <v>0.11475877389767174</v>
      </c>
      <c r="J13" s="654"/>
      <c r="K13" s="659" t="s">
        <v>59</v>
      </c>
      <c r="L13" s="654"/>
      <c r="M13" s="654"/>
      <c r="N13" s="654"/>
      <c r="O13" s="652"/>
      <c r="P13" s="652"/>
    </row>
    <row r="14" spans="1:16" ht="13" thickBot="1">
      <c r="C14" s="672" t="s">
        <v>60</v>
      </c>
      <c r="D14" s="47" t="s">
        <v>61</v>
      </c>
      <c r="E14" s="652" t="s">
        <v>62</v>
      </c>
      <c r="F14" s="653"/>
      <c r="I14" s="677">
        <f>IF(D10=0,0,D10/D13)</f>
        <v>202051.75696969696</v>
      </c>
      <c r="J14" s="659"/>
      <c r="K14" s="659"/>
      <c r="L14" s="659"/>
      <c r="M14" s="659"/>
      <c r="N14" s="659"/>
      <c r="O14" s="652"/>
      <c r="P14" s="652"/>
    </row>
    <row r="15" spans="1:16" ht="39">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652"/>
    </row>
    <row r="16" spans="1:16" ht="13.5" thickBot="1">
      <c r="C16" s="57" t="s">
        <v>68</v>
      </c>
      <c r="D16" s="140" t="s">
        <v>69</v>
      </c>
      <c r="E16" s="57" t="s">
        <v>70</v>
      </c>
      <c r="F16" s="57" t="s">
        <v>69</v>
      </c>
      <c r="G16" s="142" t="s">
        <v>71</v>
      </c>
      <c r="H16" s="58" t="s">
        <v>72</v>
      </c>
      <c r="I16" s="57" t="s">
        <v>93</v>
      </c>
      <c r="J16" s="55" t="s">
        <v>73</v>
      </c>
      <c r="K16" s="61" t="s">
        <v>74</v>
      </c>
      <c r="L16" s="135" t="s">
        <v>74</v>
      </c>
      <c r="M16" s="61" t="s">
        <v>94</v>
      </c>
      <c r="N16" s="136" t="s">
        <v>94</v>
      </c>
      <c r="O16" s="61" t="s">
        <v>94</v>
      </c>
      <c r="P16" s="652"/>
    </row>
    <row r="17" spans="2:16">
      <c r="B17" t="str">
        <f t="shared" ref="B17:B71" si="0">IF(D17=F16,"","IU")</f>
        <v>IU</v>
      </c>
      <c r="C17" s="678">
        <f>IF(D11= "","-",D11)</f>
        <v>2022</v>
      </c>
      <c r="D17" s="639">
        <v>0</v>
      </c>
      <c r="E17" s="641">
        <v>30556.858585858587</v>
      </c>
      <c r="F17" s="641">
        <v>6019701.1414141413</v>
      </c>
      <c r="G17" s="641">
        <v>375963.61969540955</v>
      </c>
      <c r="H17" s="641">
        <v>375963.61969540955</v>
      </c>
      <c r="I17" s="682">
        <f t="shared" ref="I17:I71" si="1">H17-G17</f>
        <v>0</v>
      </c>
      <c r="J17" s="682"/>
      <c r="K17" s="502">
        <f>+G17</f>
        <v>375963.61969540955</v>
      </c>
      <c r="L17" s="504">
        <f t="shared" ref="L17:L18" si="2">IF(K17&lt;&gt;0,+G17-K17,0)</f>
        <v>0</v>
      </c>
      <c r="M17" s="502">
        <f>+H17</f>
        <v>375963.61969540955</v>
      </c>
      <c r="N17" s="684">
        <f t="shared" ref="N17:N71" si="3">IF(M17&lt;&gt;0,+H17-M17,0)</f>
        <v>0</v>
      </c>
      <c r="O17" s="685">
        <f t="shared" ref="O17:O71" si="4">+N17-L17</f>
        <v>0</v>
      </c>
      <c r="P17" s="652"/>
    </row>
    <row r="18" spans="2:16">
      <c r="B18" t="str">
        <f t="shared" si="0"/>
        <v>IU</v>
      </c>
      <c r="C18" s="678">
        <f>IF(D11="","-",+C17+1)</f>
        <v>2023</v>
      </c>
      <c r="D18" s="615">
        <v>6587038.1414141413</v>
      </c>
      <c r="E18" s="614">
        <v>213470.80645161291</v>
      </c>
      <c r="F18" s="615">
        <v>6373567.3349625282</v>
      </c>
      <c r="G18" s="614">
        <v>945957.92644739733</v>
      </c>
      <c r="H18" s="618">
        <v>945957.92644739733</v>
      </c>
      <c r="I18" s="682">
        <f t="shared" si="1"/>
        <v>0</v>
      </c>
      <c r="J18" s="682"/>
      <c r="K18" s="593">
        <f>+G18</f>
        <v>945957.92644739733</v>
      </c>
      <c r="L18" s="597">
        <f t="shared" si="2"/>
        <v>0</v>
      </c>
      <c r="M18" s="593">
        <f>+H18</f>
        <v>945957.92644739733</v>
      </c>
      <c r="N18" s="685">
        <f t="shared" si="3"/>
        <v>0</v>
      </c>
      <c r="O18" s="685">
        <f t="shared" si="4"/>
        <v>0</v>
      </c>
      <c r="P18" s="652"/>
    </row>
    <row r="19" spans="2:16">
      <c r="B19" t="str">
        <f t="shared" si="0"/>
        <v>IU</v>
      </c>
      <c r="C19" s="678">
        <f>IF(D11="","-",+C18+1)</f>
        <v>2024</v>
      </c>
      <c r="D19" s="681">
        <f>IF(F18+SUM(E$17:E18)=D$10,F18,D$10-SUM(E$17:E18))</f>
        <v>6423680.3149625277</v>
      </c>
      <c r="E19" s="69">
        <f t="shared" ref="E19:E71" si="5">IF(+I$14&lt;F18,I$14,D19)</f>
        <v>202051.75696969696</v>
      </c>
      <c r="F19" s="681">
        <f t="shared" ref="F19:F71" si="6">+D19-E19</f>
        <v>6221628.5579928309</v>
      </c>
      <c r="G19" s="686">
        <f t="shared" ref="G19:G71" si="7">(D19+F19)/2*I$12+E19</f>
        <v>927631.82787855016</v>
      </c>
      <c r="H19" s="677">
        <f t="shared" ref="H19:H71" si="8">+(D19+F19)/2*I$13+E19</f>
        <v>927631.82787855016</v>
      </c>
      <c r="I19" s="682">
        <f t="shared" si="1"/>
        <v>0</v>
      </c>
      <c r="J19" s="682"/>
      <c r="K19" s="130"/>
      <c r="L19" s="685">
        <f t="shared" ref="L19:L71" si="9">IF(K19&lt;&gt;0,+G19-K19,0)</f>
        <v>0</v>
      </c>
      <c r="M19" s="130"/>
      <c r="N19" s="685">
        <f t="shared" si="3"/>
        <v>0</v>
      </c>
      <c r="O19" s="685">
        <f t="shared" si="4"/>
        <v>0</v>
      </c>
      <c r="P19" s="652"/>
    </row>
    <row r="20" spans="2:16">
      <c r="B20" t="str">
        <f t="shared" si="0"/>
        <v/>
      </c>
      <c r="C20" s="678">
        <f>IF(D11="","-",+C19+1)</f>
        <v>2025</v>
      </c>
      <c r="D20" s="681">
        <f>IF(F19+SUM(E$17:E19)=D$10,F19,D$10-SUM(E$17:E19))</f>
        <v>6221628.5579928309</v>
      </c>
      <c r="E20" s="69">
        <f t="shared" si="5"/>
        <v>202051.75696969696</v>
      </c>
      <c r="F20" s="681">
        <f t="shared" si="6"/>
        <v>6019576.801023134</v>
      </c>
      <c r="G20" s="686">
        <f t="shared" si="7"/>
        <v>904444.61598483729</v>
      </c>
      <c r="H20" s="677">
        <f t="shared" si="8"/>
        <v>904444.61598483729</v>
      </c>
      <c r="I20" s="682">
        <f t="shared" si="1"/>
        <v>0</v>
      </c>
      <c r="J20" s="682"/>
      <c r="K20" s="130"/>
      <c r="L20" s="685">
        <f t="shared" si="9"/>
        <v>0</v>
      </c>
      <c r="M20" s="130"/>
      <c r="N20" s="685">
        <f t="shared" si="3"/>
        <v>0</v>
      </c>
      <c r="O20" s="685">
        <f t="shared" si="4"/>
        <v>0</v>
      </c>
      <c r="P20" s="652"/>
    </row>
    <row r="21" spans="2:16">
      <c r="B21" t="str">
        <f t="shared" si="0"/>
        <v/>
      </c>
      <c r="C21" s="678">
        <f>IF(D11="","-",+C20+1)</f>
        <v>2026</v>
      </c>
      <c r="D21" s="681">
        <f>IF(F20+SUM(E$17:E20)=D$10,F20,D$10-SUM(E$17:E20))</f>
        <v>6019576.801023134</v>
      </c>
      <c r="E21" s="69">
        <f t="shared" si="5"/>
        <v>202051.75696969696</v>
      </c>
      <c r="F21" s="681">
        <f t="shared" si="6"/>
        <v>5817525.0440534372</v>
      </c>
      <c r="G21" s="686">
        <f t="shared" si="7"/>
        <v>881257.40409112466</v>
      </c>
      <c r="H21" s="677">
        <f t="shared" si="8"/>
        <v>881257.40409112466</v>
      </c>
      <c r="I21" s="682">
        <f t="shared" si="1"/>
        <v>0</v>
      </c>
      <c r="J21" s="682"/>
      <c r="K21" s="130"/>
      <c r="L21" s="685">
        <f t="shared" si="9"/>
        <v>0</v>
      </c>
      <c r="M21" s="130"/>
      <c r="N21" s="685">
        <f t="shared" si="3"/>
        <v>0</v>
      </c>
      <c r="O21" s="685">
        <f t="shared" si="4"/>
        <v>0</v>
      </c>
      <c r="P21" s="652"/>
    </row>
    <row r="22" spans="2:16">
      <c r="B22" t="str">
        <f t="shared" si="0"/>
        <v/>
      </c>
      <c r="C22" s="678">
        <f>IF(D11="","-",+C21+1)</f>
        <v>2027</v>
      </c>
      <c r="D22" s="681">
        <f>IF(F21+SUM(E$17:E21)=D$10,F21,D$10-SUM(E$17:E21))</f>
        <v>5817525.0440534372</v>
      </c>
      <c r="E22" s="69">
        <f t="shared" si="5"/>
        <v>202051.75696969696</v>
      </c>
      <c r="F22" s="681">
        <f t="shared" si="6"/>
        <v>5615473.2870837403</v>
      </c>
      <c r="G22" s="686">
        <f t="shared" si="7"/>
        <v>858070.19219741179</v>
      </c>
      <c r="H22" s="677">
        <f t="shared" si="8"/>
        <v>858070.19219741179</v>
      </c>
      <c r="I22" s="682">
        <f t="shared" si="1"/>
        <v>0</v>
      </c>
      <c r="J22" s="682"/>
      <c r="K22" s="130"/>
      <c r="L22" s="685">
        <f t="shared" si="9"/>
        <v>0</v>
      </c>
      <c r="M22" s="130"/>
      <c r="N22" s="685">
        <f t="shared" si="3"/>
        <v>0</v>
      </c>
      <c r="O22" s="685">
        <f t="shared" si="4"/>
        <v>0</v>
      </c>
      <c r="P22" s="652"/>
    </row>
    <row r="23" spans="2:16">
      <c r="B23" t="str">
        <f t="shared" si="0"/>
        <v/>
      </c>
      <c r="C23" s="678">
        <f>IF(D11="","-",+C22+1)</f>
        <v>2028</v>
      </c>
      <c r="D23" s="681">
        <f>IF(F22+SUM(E$17:E22)=D$10,F22,D$10-SUM(E$17:E22))</f>
        <v>5615473.2870837403</v>
      </c>
      <c r="E23" s="69">
        <f t="shared" si="5"/>
        <v>202051.75696969696</v>
      </c>
      <c r="F23" s="681">
        <f t="shared" si="6"/>
        <v>5413421.5301140435</v>
      </c>
      <c r="G23" s="686">
        <f t="shared" si="7"/>
        <v>834882.98030369903</v>
      </c>
      <c r="H23" s="677">
        <f t="shared" si="8"/>
        <v>834882.98030369903</v>
      </c>
      <c r="I23" s="682">
        <f t="shared" si="1"/>
        <v>0</v>
      </c>
      <c r="J23" s="682"/>
      <c r="K23" s="130"/>
      <c r="L23" s="685">
        <f t="shared" si="9"/>
        <v>0</v>
      </c>
      <c r="M23" s="130"/>
      <c r="N23" s="685">
        <f t="shared" si="3"/>
        <v>0</v>
      </c>
      <c r="O23" s="685">
        <f t="shared" si="4"/>
        <v>0</v>
      </c>
      <c r="P23" s="652"/>
    </row>
    <row r="24" spans="2:16">
      <c r="B24" t="str">
        <f t="shared" si="0"/>
        <v/>
      </c>
      <c r="C24" s="678">
        <f>IF(D11="","-",+C23+1)</f>
        <v>2029</v>
      </c>
      <c r="D24" s="681">
        <f>IF(F23+SUM(E$17:E23)=D$10,F23,D$10-SUM(E$17:E23))</f>
        <v>5413421.5301140435</v>
      </c>
      <c r="E24" s="69">
        <f t="shared" si="5"/>
        <v>202051.75696969696</v>
      </c>
      <c r="F24" s="681">
        <f t="shared" si="6"/>
        <v>5211369.7731443467</v>
      </c>
      <c r="G24" s="686">
        <f t="shared" si="7"/>
        <v>811695.76840998617</v>
      </c>
      <c r="H24" s="677">
        <f t="shared" si="8"/>
        <v>811695.76840998617</v>
      </c>
      <c r="I24" s="682">
        <f t="shared" si="1"/>
        <v>0</v>
      </c>
      <c r="J24" s="682"/>
      <c r="K24" s="130"/>
      <c r="L24" s="685">
        <f t="shared" si="9"/>
        <v>0</v>
      </c>
      <c r="M24" s="130"/>
      <c r="N24" s="685">
        <f t="shared" si="3"/>
        <v>0</v>
      </c>
      <c r="O24" s="685">
        <f t="shared" si="4"/>
        <v>0</v>
      </c>
      <c r="P24" s="652"/>
    </row>
    <row r="25" spans="2:16">
      <c r="B25" t="str">
        <f t="shared" si="0"/>
        <v/>
      </c>
      <c r="C25" s="678">
        <f>IF(D11="","-",+C24+1)</f>
        <v>2030</v>
      </c>
      <c r="D25" s="681">
        <f>IF(F24+SUM(E$17:E24)=D$10,F24,D$10-SUM(E$17:E24))</f>
        <v>5211369.7731443467</v>
      </c>
      <c r="E25" s="69">
        <f t="shared" si="5"/>
        <v>202051.75696969696</v>
      </c>
      <c r="F25" s="681">
        <f t="shared" si="6"/>
        <v>5009318.0161746498</v>
      </c>
      <c r="G25" s="686">
        <f t="shared" si="7"/>
        <v>788508.55651627353</v>
      </c>
      <c r="H25" s="677">
        <f t="shared" si="8"/>
        <v>788508.55651627353</v>
      </c>
      <c r="I25" s="682">
        <f t="shared" si="1"/>
        <v>0</v>
      </c>
      <c r="J25" s="682"/>
      <c r="K25" s="130"/>
      <c r="L25" s="685">
        <f t="shared" si="9"/>
        <v>0</v>
      </c>
      <c r="M25" s="130"/>
      <c r="N25" s="685">
        <f t="shared" si="3"/>
        <v>0</v>
      </c>
      <c r="O25" s="685">
        <f t="shared" si="4"/>
        <v>0</v>
      </c>
      <c r="P25" s="652"/>
    </row>
    <row r="26" spans="2:16">
      <c r="B26" t="str">
        <f t="shared" si="0"/>
        <v/>
      </c>
      <c r="C26" s="678">
        <f>IF(D11="","-",+C25+1)</f>
        <v>2031</v>
      </c>
      <c r="D26" s="681">
        <f>IF(F25+SUM(E$17:E25)=D$10,F25,D$10-SUM(E$17:E25))</f>
        <v>5009318.0161746498</v>
      </c>
      <c r="E26" s="69">
        <f t="shared" si="5"/>
        <v>202051.75696969696</v>
      </c>
      <c r="F26" s="681">
        <f t="shared" si="6"/>
        <v>4807266.259204953</v>
      </c>
      <c r="G26" s="686">
        <f t="shared" si="7"/>
        <v>765321.34462256066</v>
      </c>
      <c r="H26" s="677">
        <f t="shared" si="8"/>
        <v>765321.34462256066</v>
      </c>
      <c r="I26" s="682">
        <f t="shared" si="1"/>
        <v>0</v>
      </c>
      <c r="J26" s="682"/>
      <c r="K26" s="130"/>
      <c r="L26" s="685">
        <f t="shared" si="9"/>
        <v>0</v>
      </c>
      <c r="M26" s="130"/>
      <c r="N26" s="685">
        <f t="shared" si="3"/>
        <v>0</v>
      </c>
      <c r="O26" s="685">
        <f t="shared" si="4"/>
        <v>0</v>
      </c>
      <c r="P26" s="652"/>
    </row>
    <row r="27" spans="2:16">
      <c r="B27" t="str">
        <f t="shared" si="0"/>
        <v/>
      </c>
      <c r="C27" s="678">
        <f>IF(D11="","-",+C26+1)</f>
        <v>2032</v>
      </c>
      <c r="D27" s="681">
        <f>IF(F26+SUM(E$17:E26)=D$10,F26,D$10-SUM(E$17:E26))</f>
        <v>4807266.259204953</v>
      </c>
      <c r="E27" s="69">
        <f t="shared" si="5"/>
        <v>202051.75696969696</v>
      </c>
      <c r="F27" s="681">
        <f t="shared" si="6"/>
        <v>4605214.5022352561</v>
      </c>
      <c r="G27" s="686">
        <f t="shared" si="7"/>
        <v>742134.13272884802</v>
      </c>
      <c r="H27" s="677">
        <f t="shared" si="8"/>
        <v>742134.13272884802</v>
      </c>
      <c r="I27" s="682">
        <f t="shared" si="1"/>
        <v>0</v>
      </c>
      <c r="J27" s="682"/>
      <c r="K27" s="130"/>
      <c r="L27" s="685">
        <f t="shared" si="9"/>
        <v>0</v>
      </c>
      <c r="M27" s="130"/>
      <c r="N27" s="685">
        <f t="shared" si="3"/>
        <v>0</v>
      </c>
      <c r="O27" s="685">
        <f t="shared" si="4"/>
        <v>0</v>
      </c>
      <c r="P27" s="652"/>
    </row>
    <row r="28" spans="2:16">
      <c r="B28" t="str">
        <f t="shared" si="0"/>
        <v/>
      </c>
      <c r="C28" s="678">
        <f>IF(D11="","-",+C27+1)</f>
        <v>2033</v>
      </c>
      <c r="D28" s="681">
        <f>IF(F27+SUM(E$17:E27)=D$10,F27,D$10-SUM(E$17:E27))</f>
        <v>4605214.5022352561</v>
      </c>
      <c r="E28" s="69">
        <f t="shared" si="5"/>
        <v>202051.75696969696</v>
      </c>
      <c r="F28" s="681">
        <f t="shared" si="6"/>
        <v>4403162.7452655593</v>
      </c>
      <c r="G28" s="686">
        <f t="shared" si="7"/>
        <v>718946.92083513516</v>
      </c>
      <c r="H28" s="677">
        <f t="shared" si="8"/>
        <v>718946.92083513516</v>
      </c>
      <c r="I28" s="682">
        <f t="shared" si="1"/>
        <v>0</v>
      </c>
      <c r="J28" s="682"/>
      <c r="K28" s="130"/>
      <c r="L28" s="685">
        <f t="shared" si="9"/>
        <v>0</v>
      </c>
      <c r="M28" s="130"/>
      <c r="N28" s="685">
        <f t="shared" si="3"/>
        <v>0</v>
      </c>
      <c r="O28" s="685">
        <f t="shared" si="4"/>
        <v>0</v>
      </c>
      <c r="P28" s="652"/>
    </row>
    <row r="29" spans="2:16">
      <c r="B29" t="str">
        <f t="shared" si="0"/>
        <v/>
      </c>
      <c r="C29" s="678">
        <f>IF(D11="","-",+C28+1)</f>
        <v>2034</v>
      </c>
      <c r="D29" s="681">
        <f>IF(F28+SUM(E$17:E28)=D$10,F28,D$10-SUM(E$17:E28))</f>
        <v>4403162.7452655593</v>
      </c>
      <c r="E29" s="69">
        <f t="shared" si="5"/>
        <v>202051.75696969696</v>
      </c>
      <c r="F29" s="681">
        <f t="shared" si="6"/>
        <v>4201110.9882958625</v>
      </c>
      <c r="G29" s="686">
        <f t="shared" si="7"/>
        <v>695759.70894142252</v>
      </c>
      <c r="H29" s="677">
        <f t="shared" si="8"/>
        <v>695759.70894142252</v>
      </c>
      <c r="I29" s="682">
        <f t="shared" si="1"/>
        <v>0</v>
      </c>
      <c r="J29" s="682"/>
      <c r="K29" s="130"/>
      <c r="L29" s="685">
        <f t="shared" si="9"/>
        <v>0</v>
      </c>
      <c r="M29" s="130"/>
      <c r="N29" s="685">
        <f t="shared" si="3"/>
        <v>0</v>
      </c>
      <c r="O29" s="685">
        <f t="shared" si="4"/>
        <v>0</v>
      </c>
      <c r="P29" s="652"/>
    </row>
    <row r="30" spans="2:16">
      <c r="B30" t="str">
        <f t="shared" si="0"/>
        <v/>
      </c>
      <c r="C30" s="678">
        <f>IF(D11="","-",+C29+1)</f>
        <v>2035</v>
      </c>
      <c r="D30" s="681">
        <f>IF(F29+SUM(E$17:E29)=D$10,F29,D$10-SUM(E$17:E29))</f>
        <v>4201110.9882958625</v>
      </c>
      <c r="E30" s="69">
        <f t="shared" si="5"/>
        <v>202051.75696969696</v>
      </c>
      <c r="F30" s="681">
        <f t="shared" si="6"/>
        <v>3999059.2313261656</v>
      </c>
      <c r="G30" s="686">
        <f t="shared" si="7"/>
        <v>672572.49704770977</v>
      </c>
      <c r="H30" s="677">
        <f t="shared" si="8"/>
        <v>672572.49704770977</v>
      </c>
      <c r="I30" s="682">
        <f t="shared" si="1"/>
        <v>0</v>
      </c>
      <c r="J30" s="682"/>
      <c r="K30" s="130"/>
      <c r="L30" s="685">
        <f t="shared" si="9"/>
        <v>0</v>
      </c>
      <c r="M30" s="130"/>
      <c r="N30" s="685">
        <f t="shared" si="3"/>
        <v>0</v>
      </c>
      <c r="O30" s="685">
        <f t="shared" si="4"/>
        <v>0</v>
      </c>
      <c r="P30" s="652"/>
    </row>
    <row r="31" spans="2:16">
      <c r="B31" t="str">
        <f t="shared" si="0"/>
        <v/>
      </c>
      <c r="C31" s="678">
        <f>IF(D11="","-",+C30+1)</f>
        <v>2036</v>
      </c>
      <c r="D31" s="681">
        <f>IF(F30+SUM(E$17:E30)=D$10,F30,D$10-SUM(E$17:E30))</f>
        <v>3999059.2313261656</v>
      </c>
      <c r="E31" s="69">
        <f t="shared" si="5"/>
        <v>202051.75696969696</v>
      </c>
      <c r="F31" s="681">
        <f t="shared" si="6"/>
        <v>3797007.4743564688</v>
      </c>
      <c r="G31" s="686">
        <f t="shared" si="7"/>
        <v>649385.2851539969</v>
      </c>
      <c r="H31" s="677">
        <f t="shared" si="8"/>
        <v>649385.2851539969</v>
      </c>
      <c r="I31" s="682">
        <f t="shared" si="1"/>
        <v>0</v>
      </c>
      <c r="J31" s="682"/>
      <c r="K31" s="130"/>
      <c r="L31" s="685">
        <f t="shared" si="9"/>
        <v>0</v>
      </c>
      <c r="M31" s="130"/>
      <c r="N31" s="685">
        <f t="shared" si="3"/>
        <v>0</v>
      </c>
      <c r="O31" s="685">
        <f t="shared" si="4"/>
        <v>0</v>
      </c>
      <c r="P31" s="652"/>
    </row>
    <row r="32" spans="2:16">
      <c r="B32" t="str">
        <f t="shared" si="0"/>
        <v/>
      </c>
      <c r="C32" s="678">
        <f>IF(D11="","-",+C31+1)</f>
        <v>2037</v>
      </c>
      <c r="D32" s="681">
        <f>IF(F31+SUM(E$17:E31)=D$10,F31,D$10-SUM(E$17:E31))</f>
        <v>3797007.4743564688</v>
      </c>
      <c r="E32" s="69">
        <f t="shared" si="5"/>
        <v>202051.75696969696</v>
      </c>
      <c r="F32" s="681">
        <f t="shared" si="6"/>
        <v>3594955.7173867719</v>
      </c>
      <c r="G32" s="686">
        <f t="shared" si="7"/>
        <v>626198.07326028426</v>
      </c>
      <c r="H32" s="677">
        <f t="shared" si="8"/>
        <v>626198.07326028426</v>
      </c>
      <c r="I32" s="682">
        <f t="shared" si="1"/>
        <v>0</v>
      </c>
      <c r="J32" s="682"/>
      <c r="K32" s="130"/>
      <c r="L32" s="685">
        <f t="shared" si="9"/>
        <v>0</v>
      </c>
      <c r="M32" s="130"/>
      <c r="N32" s="685">
        <f t="shared" si="3"/>
        <v>0</v>
      </c>
      <c r="O32" s="685">
        <f t="shared" si="4"/>
        <v>0</v>
      </c>
      <c r="P32" s="652"/>
    </row>
    <row r="33" spans="2:16">
      <c r="B33" t="str">
        <f t="shared" si="0"/>
        <v/>
      </c>
      <c r="C33" s="678">
        <f>IF(D11="","-",+C32+1)</f>
        <v>2038</v>
      </c>
      <c r="D33" s="681">
        <f>IF(F32+SUM(E$17:E32)=D$10,F32,D$10-SUM(E$17:E32))</f>
        <v>3594955.7173867719</v>
      </c>
      <c r="E33" s="69">
        <f t="shared" si="5"/>
        <v>202051.75696969696</v>
      </c>
      <c r="F33" s="681">
        <f t="shared" si="6"/>
        <v>3392903.9604170751</v>
      </c>
      <c r="G33" s="686">
        <f t="shared" si="7"/>
        <v>603010.86136657139</v>
      </c>
      <c r="H33" s="677">
        <f t="shared" si="8"/>
        <v>603010.86136657139</v>
      </c>
      <c r="I33" s="682">
        <f t="shared" si="1"/>
        <v>0</v>
      </c>
      <c r="J33" s="682"/>
      <c r="K33" s="130"/>
      <c r="L33" s="685">
        <f t="shared" si="9"/>
        <v>0</v>
      </c>
      <c r="M33" s="130"/>
      <c r="N33" s="685">
        <f t="shared" si="3"/>
        <v>0</v>
      </c>
      <c r="O33" s="685">
        <f t="shared" si="4"/>
        <v>0</v>
      </c>
      <c r="P33" s="652"/>
    </row>
    <row r="34" spans="2:16">
      <c r="B34" t="str">
        <f t="shared" si="0"/>
        <v/>
      </c>
      <c r="C34" s="678">
        <f>IF(D11="","-",+C33+1)</f>
        <v>2039</v>
      </c>
      <c r="D34" s="681">
        <f>IF(F33+SUM(E$17:E33)=D$10,F33,D$10-SUM(E$17:E33))</f>
        <v>3392903.9604170751</v>
      </c>
      <c r="E34" s="69">
        <f t="shared" si="5"/>
        <v>202051.75696969696</v>
      </c>
      <c r="F34" s="681">
        <f t="shared" si="6"/>
        <v>3190852.2034473782</v>
      </c>
      <c r="G34" s="686">
        <f t="shared" si="7"/>
        <v>579823.64947285876</v>
      </c>
      <c r="H34" s="677">
        <f t="shared" si="8"/>
        <v>579823.64947285876</v>
      </c>
      <c r="I34" s="682">
        <f t="shared" si="1"/>
        <v>0</v>
      </c>
      <c r="J34" s="682"/>
      <c r="K34" s="130"/>
      <c r="L34" s="685">
        <f t="shared" si="9"/>
        <v>0</v>
      </c>
      <c r="M34" s="130"/>
      <c r="N34" s="685">
        <f t="shared" si="3"/>
        <v>0</v>
      </c>
      <c r="O34" s="685">
        <f t="shared" si="4"/>
        <v>0</v>
      </c>
      <c r="P34" s="652"/>
    </row>
    <row r="35" spans="2:16">
      <c r="B35" t="str">
        <f t="shared" si="0"/>
        <v/>
      </c>
      <c r="C35" s="678">
        <f>IF(D11="","-",+C34+1)</f>
        <v>2040</v>
      </c>
      <c r="D35" s="681">
        <f>IF(F34+SUM(E$17:E34)=D$10,F34,D$10-SUM(E$17:E34))</f>
        <v>3190852.2034473782</v>
      </c>
      <c r="E35" s="69">
        <f t="shared" si="5"/>
        <v>202051.75696969696</v>
      </c>
      <c r="F35" s="681">
        <f t="shared" si="6"/>
        <v>2988800.4464776814</v>
      </c>
      <c r="G35" s="686">
        <f t="shared" si="7"/>
        <v>556636.43757914589</v>
      </c>
      <c r="H35" s="677">
        <f t="shared" si="8"/>
        <v>556636.43757914589</v>
      </c>
      <c r="I35" s="682">
        <f t="shared" si="1"/>
        <v>0</v>
      </c>
      <c r="J35" s="682"/>
      <c r="K35" s="130"/>
      <c r="L35" s="685">
        <f t="shared" si="9"/>
        <v>0</v>
      </c>
      <c r="M35" s="130"/>
      <c r="N35" s="685">
        <f t="shared" si="3"/>
        <v>0</v>
      </c>
      <c r="O35" s="685">
        <f t="shared" si="4"/>
        <v>0</v>
      </c>
      <c r="P35" s="652"/>
    </row>
    <row r="36" spans="2:16">
      <c r="B36" t="str">
        <f t="shared" si="0"/>
        <v/>
      </c>
      <c r="C36" s="678">
        <f>IF(D11="","-",+C35+1)</f>
        <v>2041</v>
      </c>
      <c r="D36" s="681">
        <f>IF(F35+SUM(E$17:E35)=D$10,F35,D$10-SUM(E$17:E35))</f>
        <v>2988800.4464776814</v>
      </c>
      <c r="E36" s="69">
        <f t="shared" si="5"/>
        <v>202051.75696969696</v>
      </c>
      <c r="F36" s="681">
        <f t="shared" si="6"/>
        <v>2786748.6895079846</v>
      </c>
      <c r="G36" s="686">
        <f t="shared" si="7"/>
        <v>533449.22568543314</v>
      </c>
      <c r="H36" s="677">
        <f t="shared" si="8"/>
        <v>533449.22568543314</v>
      </c>
      <c r="I36" s="682">
        <f t="shared" si="1"/>
        <v>0</v>
      </c>
      <c r="J36" s="682"/>
      <c r="K36" s="130"/>
      <c r="L36" s="685">
        <f t="shared" si="9"/>
        <v>0</v>
      </c>
      <c r="M36" s="130"/>
      <c r="N36" s="685">
        <f t="shared" si="3"/>
        <v>0</v>
      </c>
      <c r="O36" s="685">
        <f t="shared" si="4"/>
        <v>0</v>
      </c>
      <c r="P36" s="652"/>
    </row>
    <row r="37" spans="2:16">
      <c r="B37" t="str">
        <f t="shared" si="0"/>
        <v/>
      </c>
      <c r="C37" s="678">
        <f>IF(D11="","-",+C36+1)</f>
        <v>2042</v>
      </c>
      <c r="D37" s="681">
        <f>IF(F36+SUM(E$17:E36)=D$10,F36,D$10-SUM(E$17:E36))</f>
        <v>2786748.6895079846</v>
      </c>
      <c r="E37" s="69">
        <f t="shared" si="5"/>
        <v>202051.75696969696</v>
      </c>
      <c r="F37" s="681">
        <f t="shared" si="6"/>
        <v>2584696.9325382877</v>
      </c>
      <c r="G37" s="686">
        <f t="shared" si="7"/>
        <v>510262.01379172038</v>
      </c>
      <c r="H37" s="677">
        <f t="shared" si="8"/>
        <v>510262.01379172038</v>
      </c>
      <c r="I37" s="682">
        <f t="shared" si="1"/>
        <v>0</v>
      </c>
      <c r="J37" s="682"/>
      <c r="K37" s="130"/>
      <c r="L37" s="685">
        <f t="shared" si="9"/>
        <v>0</v>
      </c>
      <c r="M37" s="130"/>
      <c r="N37" s="685">
        <f t="shared" si="3"/>
        <v>0</v>
      </c>
      <c r="O37" s="685">
        <f t="shared" si="4"/>
        <v>0</v>
      </c>
      <c r="P37" s="652"/>
    </row>
    <row r="38" spans="2:16">
      <c r="B38" t="str">
        <f t="shared" si="0"/>
        <v/>
      </c>
      <c r="C38" s="678">
        <f>IF(D11="","-",+C37+1)</f>
        <v>2043</v>
      </c>
      <c r="D38" s="681">
        <f>IF(F37+SUM(E$17:E37)=D$10,F37,D$10-SUM(E$17:E37))</f>
        <v>2584696.9325382877</v>
      </c>
      <c r="E38" s="69">
        <f t="shared" si="5"/>
        <v>202051.75696969696</v>
      </c>
      <c r="F38" s="681">
        <f t="shared" si="6"/>
        <v>2382645.1755685909</v>
      </c>
      <c r="G38" s="686">
        <f t="shared" si="7"/>
        <v>487074.80189800763</v>
      </c>
      <c r="H38" s="677">
        <f t="shared" si="8"/>
        <v>487074.80189800763</v>
      </c>
      <c r="I38" s="682">
        <f t="shared" si="1"/>
        <v>0</v>
      </c>
      <c r="J38" s="682"/>
      <c r="K38" s="130"/>
      <c r="L38" s="685">
        <f t="shared" si="9"/>
        <v>0</v>
      </c>
      <c r="M38" s="130"/>
      <c r="N38" s="685">
        <f t="shared" si="3"/>
        <v>0</v>
      </c>
      <c r="O38" s="685">
        <f t="shared" si="4"/>
        <v>0</v>
      </c>
      <c r="P38" s="652"/>
    </row>
    <row r="39" spans="2:16">
      <c r="B39" t="str">
        <f t="shared" si="0"/>
        <v/>
      </c>
      <c r="C39" s="678">
        <f>IF(D11="","-",+C38+1)</f>
        <v>2044</v>
      </c>
      <c r="D39" s="681">
        <f>IF(F38+SUM(E$17:E38)=D$10,F38,D$10-SUM(E$17:E38))</f>
        <v>2382645.1755685909</v>
      </c>
      <c r="E39" s="69">
        <f t="shared" si="5"/>
        <v>202051.75696969696</v>
      </c>
      <c r="F39" s="681">
        <f t="shared" si="6"/>
        <v>2180593.418598894</v>
      </c>
      <c r="G39" s="686">
        <f t="shared" si="7"/>
        <v>463887.59000429488</v>
      </c>
      <c r="H39" s="677">
        <f t="shared" si="8"/>
        <v>463887.59000429488</v>
      </c>
      <c r="I39" s="682">
        <f t="shared" si="1"/>
        <v>0</v>
      </c>
      <c r="J39" s="682"/>
      <c r="K39" s="130"/>
      <c r="L39" s="685">
        <f t="shared" si="9"/>
        <v>0</v>
      </c>
      <c r="M39" s="130"/>
      <c r="N39" s="685">
        <f t="shared" si="3"/>
        <v>0</v>
      </c>
      <c r="O39" s="685">
        <f t="shared" si="4"/>
        <v>0</v>
      </c>
      <c r="P39" s="652"/>
    </row>
    <row r="40" spans="2:16">
      <c r="B40" t="str">
        <f t="shared" si="0"/>
        <v/>
      </c>
      <c r="C40" s="678">
        <f>IF(D11="","-",+C39+1)</f>
        <v>2045</v>
      </c>
      <c r="D40" s="681">
        <f>IF(F39+SUM(E$17:E39)=D$10,F39,D$10-SUM(E$17:E39))</f>
        <v>2180593.418598894</v>
      </c>
      <c r="E40" s="69">
        <f t="shared" si="5"/>
        <v>202051.75696969696</v>
      </c>
      <c r="F40" s="681">
        <f t="shared" si="6"/>
        <v>1978541.6616291972</v>
      </c>
      <c r="G40" s="686">
        <f t="shared" si="7"/>
        <v>440700.37811058213</v>
      </c>
      <c r="H40" s="677">
        <f t="shared" si="8"/>
        <v>440700.37811058213</v>
      </c>
      <c r="I40" s="682">
        <f t="shared" si="1"/>
        <v>0</v>
      </c>
      <c r="J40" s="682"/>
      <c r="K40" s="130"/>
      <c r="L40" s="685">
        <f t="shared" si="9"/>
        <v>0</v>
      </c>
      <c r="M40" s="130"/>
      <c r="N40" s="685">
        <f t="shared" si="3"/>
        <v>0</v>
      </c>
      <c r="O40" s="685">
        <f t="shared" si="4"/>
        <v>0</v>
      </c>
      <c r="P40" s="652"/>
    </row>
    <row r="41" spans="2:16">
      <c r="B41" t="str">
        <f t="shared" si="0"/>
        <v/>
      </c>
      <c r="C41" s="678">
        <f>IF(D11="","-",+C40+1)</f>
        <v>2046</v>
      </c>
      <c r="D41" s="681">
        <f>IF(F40+SUM(E$17:E40)=D$10,F40,D$10-SUM(E$17:E40))</f>
        <v>1978541.6616291972</v>
      </c>
      <c r="E41" s="69">
        <f t="shared" si="5"/>
        <v>202051.75696969696</v>
      </c>
      <c r="F41" s="681">
        <f t="shared" si="6"/>
        <v>1776489.9046595003</v>
      </c>
      <c r="G41" s="686">
        <f t="shared" si="7"/>
        <v>417513.16621686937</v>
      </c>
      <c r="H41" s="677">
        <f t="shared" si="8"/>
        <v>417513.16621686937</v>
      </c>
      <c r="I41" s="682">
        <f t="shared" si="1"/>
        <v>0</v>
      </c>
      <c r="J41" s="682"/>
      <c r="K41" s="130"/>
      <c r="L41" s="685">
        <f t="shared" si="9"/>
        <v>0</v>
      </c>
      <c r="M41" s="130"/>
      <c r="N41" s="685">
        <f t="shared" si="3"/>
        <v>0</v>
      </c>
      <c r="O41" s="685">
        <f t="shared" si="4"/>
        <v>0</v>
      </c>
      <c r="P41" s="652"/>
    </row>
    <row r="42" spans="2:16">
      <c r="B42" t="str">
        <f t="shared" si="0"/>
        <v/>
      </c>
      <c r="C42" s="678">
        <f>IF(D11="","-",+C41+1)</f>
        <v>2047</v>
      </c>
      <c r="D42" s="681">
        <f>IF(F41+SUM(E$17:E41)=D$10,F41,D$10-SUM(E$17:E41))</f>
        <v>1776489.9046595003</v>
      </c>
      <c r="E42" s="69">
        <f t="shared" si="5"/>
        <v>202051.75696969696</v>
      </c>
      <c r="F42" s="681">
        <f t="shared" si="6"/>
        <v>1574438.1476898035</v>
      </c>
      <c r="G42" s="686">
        <f t="shared" si="7"/>
        <v>394325.95432315662</v>
      </c>
      <c r="H42" s="677">
        <f t="shared" si="8"/>
        <v>394325.95432315662</v>
      </c>
      <c r="I42" s="682">
        <f t="shared" si="1"/>
        <v>0</v>
      </c>
      <c r="J42" s="682"/>
      <c r="K42" s="130"/>
      <c r="L42" s="685">
        <f t="shared" si="9"/>
        <v>0</v>
      </c>
      <c r="M42" s="130"/>
      <c r="N42" s="685">
        <f t="shared" si="3"/>
        <v>0</v>
      </c>
      <c r="O42" s="685">
        <f t="shared" si="4"/>
        <v>0</v>
      </c>
      <c r="P42" s="652"/>
    </row>
    <row r="43" spans="2:16">
      <c r="B43" t="str">
        <f t="shared" si="0"/>
        <v/>
      </c>
      <c r="C43" s="678">
        <f>IF(D11="","-",+C42+1)</f>
        <v>2048</v>
      </c>
      <c r="D43" s="681">
        <f>IF(F42+SUM(E$17:E42)=D$10,F42,D$10-SUM(E$17:E42))</f>
        <v>1574438.1476898035</v>
      </c>
      <c r="E43" s="69">
        <f t="shared" si="5"/>
        <v>202051.75696969696</v>
      </c>
      <c r="F43" s="681">
        <f t="shared" si="6"/>
        <v>1372386.3907201067</v>
      </c>
      <c r="G43" s="686">
        <f t="shared" si="7"/>
        <v>371138.74242944387</v>
      </c>
      <c r="H43" s="677">
        <f t="shared" si="8"/>
        <v>371138.74242944387</v>
      </c>
      <c r="I43" s="682">
        <f t="shared" si="1"/>
        <v>0</v>
      </c>
      <c r="J43" s="682"/>
      <c r="K43" s="130"/>
      <c r="L43" s="685">
        <f t="shared" si="9"/>
        <v>0</v>
      </c>
      <c r="M43" s="130"/>
      <c r="N43" s="685">
        <f t="shared" si="3"/>
        <v>0</v>
      </c>
      <c r="O43" s="685">
        <f t="shared" si="4"/>
        <v>0</v>
      </c>
      <c r="P43" s="652"/>
    </row>
    <row r="44" spans="2:16">
      <c r="B44" t="str">
        <f t="shared" si="0"/>
        <v/>
      </c>
      <c r="C44" s="678">
        <f>IF(D11="","-",+C43+1)</f>
        <v>2049</v>
      </c>
      <c r="D44" s="681">
        <f>IF(F43+SUM(E$17:E43)=D$10,F43,D$10-SUM(E$17:E43))</f>
        <v>1372386.3907201067</v>
      </c>
      <c r="E44" s="69">
        <f t="shared" si="5"/>
        <v>202051.75696969696</v>
      </c>
      <c r="F44" s="681">
        <f t="shared" si="6"/>
        <v>1170334.6337504098</v>
      </c>
      <c r="G44" s="686">
        <f t="shared" si="7"/>
        <v>347951.53053573112</v>
      </c>
      <c r="H44" s="677">
        <f t="shared" si="8"/>
        <v>347951.53053573112</v>
      </c>
      <c r="I44" s="682">
        <f t="shared" si="1"/>
        <v>0</v>
      </c>
      <c r="J44" s="682"/>
      <c r="K44" s="130"/>
      <c r="L44" s="685">
        <f t="shared" si="9"/>
        <v>0</v>
      </c>
      <c r="M44" s="130"/>
      <c r="N44" s="685">
        <f t="shared" si="3"/>
        <v>0</v>
      </c>
      <c r="O44" s="685">
        <f t="shared" si="4"/>
        <v>0</v>
      </c>
      <c r="P44" s="652"/>
    </row>
    <row r="45" spans="2:16">
      <c r="B45" t="str">
        <f t="shared" si="0"/>
        <v/>
      </c>
      <c r="C45" s="678">
        <f>IF(D11="","-",+C44+1)</f>
        <v>2050</v>
      </c>
      <c r="D45" s="681">
        <f>IF(F44+SUM(E$17:E44)=D$10,F44,D$10-SUM(E$17:E44))</f>
        <v>1170334.6337504098</v>
      </c>
      <c r="E45" s="69">
        <f t="shared" si="5"/>
        <v>202051.75696969696</v>
      </c>
      <c r="F45" s="681">
        <f t="shared" si="6"/>
        <v>968282.87678071286</v>
      </c>
      <c r="G45" s="686">
        <f t="shared" si="7"/>
        <v>324764.3186420183</v>
      </c>
      <c r="H45" s="677">
        <f t="shared" si="8"/>
        <v>324764.3186420183</v>
      </c>
      <c r="I45" s="682">
        <f t="shared" si="1"/>
        <v>0</v>
      </c>
      <c r="J45" s="682"/>
      <c r="K45" s="130"/>
      <c r="L45" s="685">
        <f t="shared" si="9"/>
        <v>0</v>
      </c>
      <c r="M45" s="130"/>
      <c r="N45" s="685">
        <f t="shared" si="3"/>
        <v>0</v>
      </c>
      <c r="O45" s="685">
        <f t="shared" si="4"/>
        <v>0</v>
      </c>
      <c r="P45" s="652"/>
    </row>
    <row r="46" spans="2:16">
      <c r="B46" t="str">
        <f t="shared" si="0"/>
        <v/>
      </c>
      <c r="C46" s="678">
        <f>IF(D11="","-",+C45+1)</f>
        <v>2051</v>
      </c>
      <c r="D46" s="681">
        <f>IF(F45+SUM(E$17:E45)=D$10,F45,D$10-SUM(E$17:E45))</f>
        <v>968282.87678071286</v>
      </c>
      <c r="E46" s="69">
        <f t="shared" si="5"/>
        <v>202051.75696969696</v>
      </c>
      <c r="F46" s="681">
        <f t="shared" si="6"/>
        <v>766231.1198110159</v>
      </c>
      <c r="G46" s="686">
        <f t="shared" si="7"/>
        <v>301577.10674830555</v>
      </c>
      <c r="H46" s="677">
        <f t="shared" si="8"/>
        <v>301577.10674830555</v>
      </c>
      <c r="I46" s="682">
        <f t="shared" si="1"/>
        <v>0</v>
      </c>
      <c r="J46" s="682"/>
      <c r="K46" s="130"/>
      <c r="L46" s="685">
        <f t="shared" si="9"/>
        <v>0</v>
      </c>
      <c r="M46" s="130"/>
      <c r="N46" s="685">
        <f t="shared" si="3"/>
        <v>0</v>
      </c>
      <c r="O46" s="685">
        <f t="shared" si="4"/>
        <v>0</v>
      </c>
      <c r="P46" s="652"/>
    </row>
    <row r="47" spans="2:16">
      <c r="B47" t="str">
        <f t="shared" si="0"/>
        <v/>
      </c>
      <c r="C47" s="678">
        <f>IF(D11="","-",+C46+1)</f>
        <v>2052</v>
      </c>
      <c r="D47" s="681">
        <f>IF(F46+SUM(E$17:E46)=D$10,F46,D$10-SUM(E$17:E46))</f>
        <v>766231.1198110159</v>
      </c>
      <c r="E47" s="69">
        <f t="shared" si="5"/>
        <v>202051.75696969696</v>
      </c>
      <c r="F47" s="681">
        <f t="shared" si="6"/>
        <v>564179.36284131894</v>
      </c>
      <c r="G47" s="686">
        <f t="shared" si="7"/>
        <v>278389.89485459274</v>
      </c>
      <c r="H47" s="677">
        <f t="shared" si="8"/>
        <v>278389.89485459274</v>
      </c>
      <c r="I47" s="682">
        <f t="shared" si="1"/>
        <v>0</v>
      </c>
      <c r="J47" s="682"/>
      <c r="K47" s="130"/>
      <c r="L47" s="685">
        <f t="shared" si="9"/>
        <v>0</v>
      </c>
      <c r="M47" s="130"/>
      <c r="N47" s="685">
        <f t="shared" si="3"/>
        <v>0</v>
      </c>
      <c r="O47" s="685">
        <f t="shared" si="4"/>
        <v>0</v>
      </c>
      <c r="P47" s="652"/>
    </row>
    <row r="48" spans="2:16">
      <c r="B48" t="str">
        <f t="shared" si="0"/>
        <v/>
      </c>
      <c r="C48" s="678">
        <f>IF(D11="","-",+C47+1)</f>
        <v>2053</v>
      </c>
      <c r="D48" s="681">
        <f>IF(F47+SUM(E$17:E47)=D$10,F47,D$10-SUM(E$17:E47))</f>
        <v>564179.36284131894</v>
      </c>
      <c r="E48" s="69">
        <f t="shared" si="5"/>
        <v>202051.75696969696</v>
      </c>
      <c r="F48" s="681">
        <f t="shared" si="6"/>
        <v>362127.60587162198</v>
      </c>
      <c r="G48" s="686">
        <f t="shared" si="7"/>
        <v>255202.68296087999</v>
      </c>
      <c r="H48" s="677">
        <f t="shared" si="8"/>
        <v>255202.68296087999</v>
      </c>
      <c r="I48" s="682">
        <f t="shared" si="1"/>
        <v>0</v>
      </c>
      <c r="J48" s="682"/>
      <c r="K48" s="130"/>
      <c r="L48" s="685">
        <f t="shared" si="9"/>
        <v>0</v>
      </c>
      <c r="M48" s="130"/>
      <c r="N48" s="685">
        <f t="shared" si="3"/>
        <v>0</v>
      </c>
      <c r="O48" s="685">
        <f t="shared" si="4"/>
        <v>0</v>
      </c>
      <c r="P48" s="652"/>
    </row>
    <row r="49" spans="2:16">
      <c r="B49" t="str">
        <f t="shared" si="0"/>
        <v/>
      </c>
      <c r="C49" s="678">
        <f>IF(D11="","-",+C48+1)</f>
        <v>2054</v>
      </c>
      <c r="D49" s="681">
        <f>IF(F48+SUM(E$17:E48)=D$10,F48,D$10-SUM(E$17:E48))</f>
        <v>362127.60587162198</v>
      </c>
      <c r="E49" s="69">
        <f t="shared" si="5"/>
        <v>202051.75696969696</v>
      </c>
      <c r="F49" s="681">
        <f t="shared" si="6"/>
        <v>160075.84890192503</v>
      </c>
      <c r="G49" s="686">
        <f t="shared" si="7"/>
        <v>232015.47106716724</v>
      </c>
      <c r="H49" s="677">
        <f t="shared" si="8"/>
        <v>232015.47106716724</v>
      </c>
      <c r="I49" s="682">
        <f t="shared" si="1"/>
        <v>0</v>
      </c>
      <c r="J49" s="682"/>
      <c r="K49" s="130"/>
      <c r="L49" s="685">
        <f t="shared" si="9"/>
        <v>0</v>
      </c>
      <c r="M49" s="130"/>
      <c r="N49" s="685">
        <f t="shared" si="3"/>
        <v>0</v>
      </c>
      <c r="O49" s="685">
        <f t="shared" si="4"/>
        <v>0</v>
      </c>
      <c r="P49" s="652"/>
    </row>
    <row r="50" spans="2:16">
      <c r="B50" t="str">
        <f t="shared" si="0"/>
        <v/>
      </c>
      <c r="C50" s="678">
        <f>IF(D11="","-",+C49+1)</f>
        <v>2055</v>
      </c>
      <c r="D50" s="681">
        <f>IF(F49+SUM(E$17:E49)=D$10,F49,D$10-SUM(E$17:E49))</f>
        <v>160075.84890192503</v>
      </c>
      <c r="E50" s="69">
        <f t="shared" si="5"/>
        <v>160075.84890192503</v>
      </c>
      <c r="F50" s="681">
        <f t="shared" si="6"/>
        <v>0</v>
      </c>
      <c r="G50" s="686">
        <f t="shared" si="7"/>
        <v>169260.90297723198</v>
      </c>
      <c r="H50" s="677">
        <f t="shared" si="8"/>
        <v>169260.90297723198</v>
      </c>
      <c r="I50" s="682">
        <f t="shared" si="1"/>
        <v>0</v>
      </c>
      <c r="J50" s="682"/>
      <c r="K50" s="130"/>
      <c r="L50" s="685">
        <f t="shared" si="9"/>
        <v>0</v>
      </c>
      <c r="M50" s="130"/>
      <c r="N50" s="685">
        <f t="shared" si="3"/>
        <v>0</v>
      </c>
      <c r="O50" s="685">
        <f t="shared" si="4"/>
        <v>0</v>
      </c>
      <c r="P50" s="652"/>
    </row>
    <row r="51" spans="2:16">
      <c r="B51" t="str">
        <f t="shared" si="0"/>
        <v/>
      </c>
      <c r="C51" s="678">
        <f>IF(D11="","-",+C50+1)</f>
        <v>2056</v>
      </c>
      <c r="D51" s="681">
        <f>IF(F50+SUM(E$17:E50)=D$10,F50,D$10-SUM(E$17:E50))</f>
        <v>0</v>
      </c>
      <c r="E51" s="69">
        <f t="shared" si="5"/>
        <v>0</v>
      </c>
      <c r="F51" s="681">
        <f t="shared" si="6"/>
        <v>0</v>
      </c>
      <c r="G51" s="686">
        <f t="shared" si="7"/>
        <v>0</v>
      </c>
      <c r="H51" s="677">
        <f t="shared" si="8"/>
        <v>0</v>
      </c>
      <c r="I51" s="682">
        <f t="shared" si="1"/>
        <v>0</v>
      </c>
      <c r="J51" s="682"/>
      <c r="K51" s="130"/>
      <c r="L51" s="685">
        <f t="shared" si="9"/>
        <v>0</v>
      </c>
      <c r="M51" s="130"/>
      <c r="N51" s="685">
        <f t="shared" si="3"/>
        <v>0</v>
      </c>
      <c r="O51" s="685">
        <f t="shared" si="4"/>
        <v>0</v>
      </c>
      <c r="P51" s="652"/>
    </row>
    <row r="52" spans="2:16">
      <c r="B52" t="str">
        <f t="shared" si="0"/>
        <v/>
      </c>
      <c r="C52" s="678">
        <f>IF(D11="","-",+C51+1)</f>
        <v>2057</v>
      </c>
      <c r="D52" s="681">
        <f>IF(F51+SUM(E$17:E51)=D$10,F51,D$10-SUM(E$17:E51))</f>
        <v>0</v>
      </c>
      <c r="E52" s="69">
        <f t="shared" si="5"/>
        <v>0</v>
      </c>
      <c r="F52" s="681">
        <f t="shared" si="6"/>
        <v>0</v>
      </c>
      <c r="G52" s="686">
        <f t="shared" si="7"/>
        <v>0</v>
      </c>
      <c r="H52" s="677">
        <f t="shared" si="8"/>
        <v>0</v>
      </c>
      <c r="I52" s="682">
        <f t="shared" si="1"/>
        <v>0</v>
      </c>
      <c r="J52" s="682"/>
      <c r="K52" s="130"/>
      <c r="L52" s="685">
        <f t="shared" si="9"/>
        <v>0</v>
      </c>
      <c r="M52" s="130"/>
      <c r="N52" s="685">
        <f t="shared" si="3"/>
        <v>0</v>
      </c>
      <c r="O52" s="685">
        <f t="shared" si="4"/>
        <v>0</v>
      </c>
      <c r="P52" s="652"/>
    </row>
    <row r="53" spans="2:16">
      <c r="B53" t="str">
        <f t="shared" si="0"/>
        <v/>
      </c>
      <c r="C53" s="678">
        <f>IF(D11="","-",+C52+1)</f>
        <v>2058</v>
      </c>
      <c r="D53" s="681">
        <f>IF(F52+SUM(E$17:E52)=D$10,F52,D$10-SUM(E$17:E52))</f>
        <v>0</v>
      </c>
      <c r="E53" s="69">
        <f t="shared" si="5"/>
        <v>0</v>
      </c>
      <c r="F53" s="681">
        <f t="shared" si="6"/>
        <v>0</v>
      </c>
      <c r="G53" s="686">
        <f t="shared" si="7"/>
        <v>0</v>
      </c>
      <c r="H53" s="677">
        <f t="shared" si="8"/>
        <v>0</v>
      </c>
      <c r="I53" s="682">
        <f t="shared" si="1"/>
        <v>0</v>
      </c>
      <c r="J53" s="682"/>
      <c r="K53" s="130"/>
      <c r="L53" s="685">
        <f t="shared" si="9"/>
        <v>0</v>
      </c>
      <c r="M53" s="130"/>
      <c r="N53" s="685">
        <f t="shared" si="3"/>
        <v>0</v>
      </c>
      <c r="O53" s="685">
        <f t="shared" si="4"/>
        <v>0</v>
      </c>
      <c r="P53" s="652"/>
    </row>
    <row r="54" spans="2:16">
      <c r="B54" t="str">
        <f t="shared" si="0"/>
        <v/>
      </c>
      <c r="C54" s="678">
        <f>IF(D11="","-",+C53+1)</f>
        <v>2059</v>
      </c>
      <c r="D54" s="681">
        <f>IF(F53+SUM(E$17:E53)=D$10,F53,D$10-SUM(E$17:E53))</f>
        <v>0</v>
      </c>
      <c r="E54" s="69">
        <f t="shared" si="5"/>
        <v>0</v>
      </c>
      <c r="F54" s="681">
        <f t="shared" si="6"/>
        <v>0</v>
      </c>
      <c r="G54" s="686">
        <f t="shared" si="7"/>
        <v>0</v>
      </c>
      <c r="H54" s="677">
        <f t="shared" si="8"/>
        <v>0</v>
      </c>
      <c r="I54" s="682">
        <f t="shared" si="1"/>
        <v>0</v>
      </c>
      <c r="J54" s="682"/>
      <c r="K54" s="130"/>
      <c r="L54" s="685">
        <f t="shared" si="9"/>
        <v>0</v>
      </c>
      <c r="M54" s="130"/>
      <c r="N54" s="685">
        <f t="shared" si="3"/>
        <v>0</v>
      </c>
      <c r="O54" s="685">
        <f t="shared" si="4"/>
        <v>0</v>
      </c>
      <c r="P54" s="652"/>
    </row>
    <row r="55" spans="2:16">
      <c r="B55" t="str">
        <f t="shared" si="0"/>
        <v/>
      </c>
      <c r="C55" s="678">
        <f>IF(D11="","-",+C54+1)</f>
        <v>2060</v>
      </c>
      <c r="D55" s="681">
        <f>IF(F54+SUM(E$17:E54)=D$10,F54,D$10-SUM(E$17:E54))</f>
        <v>0</v>
      </c>
      <c r="E55" s="69">
        <f t="shared" si="5"/>
        <v>0</v>
      </c>
      <c r="F55" s="681">
        <f t="shared" si="6"/>
        <v>0</v>
      </c>
      <c r="G55" s="686">
        <f t="shared" si="7"/>
        <v>0</v>
      </c>
      <c r="H55" s="677">
        <f t="shared" si="8"/>
        <v>0</v>
      </c>
      <c r="I55" s="682">
        <f t="shared" si="1"/>
        <v>0</v>
      </c>
      <c r="J55" s="682"/>
      <c r="K55" s="130"/>
      <c r="L55" s="685">
        <f t="shared" si="9"/>
        <v>0</v>
      </c>
      <c r="M55" s="130"/>
      <c r="N55" s="685">
        <f t="shared" si="3"/>
        <v>0</v>
      </c>
      <c r="O55" s="685">
        <f t="shared" si="4"/>
        <v>0</v>
      </c>
      <c r="P55" s="652"/>
    </row>
    <row r="56" spans="2:16">
      <c r="B56" t="str">
        <f t="shared" si="0"/>
        <v/>
      </c>
      <c r="C56" s="678">
        <f>IF(D11="","-",+C55+1)</f>
        <v>2061</v>
      </c>
      <c r="D56" s="681">
        <f>IF(F55+SUM(E$17:E55)=D$10,F55,D$10-SUM(E$17:E55))</f>
        <v>0</v>
      </c>
      <c r="E56" s="69">
        <f t="shared" si="5"/>
        <v>0</v>
      </c>
      <c r="F56" s="681">
        <f t="shared" si="6"/>
        <v>0</v>
      </c>
      <c r="G56" s="686">
        <f t="shared" si="7"/>
        <v>0</v>
      </c>
      <c r="H56" s="677">
        <f t="shared" si="8"/>
        <v>0</v>
      </c>
      <c r="I56" s="682">
        <f t="shared" si="1"/>
        <v>0</v>
      </c>
      <c r="J56" s="682"/>
      <c r="K56" s="130"/>
      <c r="L56" s="685">
        <f t="shared" si="9"/>
        <v>0</v>
      </c>
      <c r="M56" s="130"/>
      <c r="N56" s="685">
        <f t="shared" si="3"/>
        <v>0</v>
      </c>
      <c r="O56" s="685">
        <f t="shared" si="4"/>
        <v>0</v>
      </c>
      <c r="P56" s="652"/>
    </row>
    <row r="57" spans="2:16">
      <c r="B57" t="str">
        <f t="shared" si="0"/>
        <v/>
      </c>
      <c r="C57" s="678">
        <f>IF(D11="","-",+C56+1)</f>
        <v>2062</v>
      </c>
      <c r="D57" s="681">
        <f>IF(F56+SUM(E$17:E56)=D$10,F56,D$10-SUM(E$17:E56))</f>
        <v>0</v>
      </c>
      <c r="E57" s="69">
        <f t="shared" si="5"/>
        <v>0</v>
      </c>
      <c r="F57" s="681">
        <f t="shared" si="6"/>
        <v>0</v>
      </c>
      <c r="G57" s="686">
        <f t="shared" si="7"/>
        <v>0</v>
      </c>
      <c r="H57" s="677">
        <f t="shared" si="8"/>
        <v>0</v>
      </c>
      <c r="I57" s="682">
        <f t="shared" si="1"/>
        <v>0</v>
      </c>
      <c r="J57" s="682"/>
      <c r="K57" s="130"/>
      <c r="L57" s="685">
        <f t="shared" si="9"/>
        <v>0</v>
      </c>
      <c r="M57" s="130"/>
      <c r="N57" s="685">
        <f t="shared" si="3"/>
        <v>0</v>
      </c>
      <c r="O57" s="685">
        <f t="shared" si="4"/>
        <v>0</v>
      </c>
      <c r="P57" s="652"/>
    </row>
    <row r="58" spans="2:16">
      <c r="B58" t="str">
        <f t="shared" si="0"/>
        <v/>
      </c>
      <c r="C58" s="678">
        <f>IF(D11="","-",+C57+1)</f>
        <v>2063</v>
      </c>
      <c r="D58" s="681">
        <f>IF(F57+SUM(E$17:E57)=D$10,F57,D$10-SUM(E$17:E57))</f>
        <v>0</v>
      </c>
      <c r="E58" s="69">
        <f t="shared" si="5"/>
        <v>0</v>
      </c>
      <c r="F58" s="681">
        <f t="shared" si="6"/>
        <v>0</v>
      </c>
      <c r="G58" s="686">
        <f t="shared" si="7"/>
        <v>0</v>
      </c>
      <c r="H58" s="677">
        <f t="shared" si="8"/>
        <v>0</v>
      </c>
      <c r="I58" s="682">
        <f t="shared" si="1"/>
        <v>0</v>
      </c>
      <c r="J58" s="682"/>
      <c r="K58" s="130"/>
      <c r="L58" s="685">
        <f t="shared" si="9"/>
        <v>0</v>
      </c>
      <c r="M58" s="130"/>
      <c r="N58" s="685">
        <f t="shared" si="3"/>
        <v>0</v>
      </c>
      <c r="O58" s="685">
        <f t="shared" si="4"/>
        <v>0</v>
      </c>
      <c r="P58" s="652"/>
    </row>
    <row r="59" spans="2:16">
      <c r="B59" t="str">
        <f t="shared" si="0"/>
        <v/>
      </c>
      <c r="C59" s="678">
        <f>IF(D11="","-",+C58+1)</f>
        <v>2064</v>
      </c>
      <c r="D59" s="681">
        <f>IF(F58+SUM(E$17:E58)=D$10,F58,D$10-SUM(E$17:E58))</f>
        <v>0</v>
      </c>
      <c r="E59" s="69">
        <f t="shared" si="5"/>
        <v>0</v>
      </c>
      <c r="F59" s="681">
        <f t="shared" si="6"/>
        <v>0</v>
      </c>
      <c r="G59" s="686">
        <f t="shared" si="7"/>
        <v>0</v>
      </c>
      <c r="H59" s="677">
        <f t="shared" si="8"/>
        <v>0</v>
      </c>
      <c r="I59" s="682">
        <f t="shared" si="1"/>
        <v>0</v>
      </c>
      <c r="J59" s="682"/>
      <c r="K59" s="130"/>
      <c r="L59" s="685">
        <f t="shared" si="9"/>
        <v>0</v>
      </c>
      <c r="M59" s="130"/>
      <c r="N59" s="685">
        <f t="shared" si="3"/>
        <v>0</v>
      </c>
      <c r="O59" s="685">
        <f t="shared" si="4"/>
        <v>0</v>
      </c>
      <c r="P59" s="652"/>
    </row>
    <row r="60" spans="2:16">
      <c r="B60" t="str">
        <f t="shared" si="0"/>
        <v/>
      </c>
      <c r="C60" s="678">
        <f>IF(D11="","-",+C59+1)</f>
        <v>2065</v>
      </c>
      <c r="D60" s="681">
        <f>IF(F59+SUM(E$17:E59)=D$10,F59,D$10-SUM(E$17:E59))</f>
        <v>0</v>
      </c>
      <c r="E60" s="69">
        <f t="shared" si="5"/>
        <v>0</v>
      </c>
      <c r="F60" s="681">
        <f t="shared" si="6"/>
        <v>0</v>
      </c>
      <c r="G60" s="686">
        <f t="shared" si="7"/>
        <v>0</v>
      </c>
      <c r="H60" s="677">
        <f t="shared" si="8"/>
        <v>0</v>
      </c>
      <c r="I60" s="682">
        <f t="shared" si="1"/>
        <v>0</v>
      </c>
      <c r="J60" s="682"/>
      <c r="K60" s="130"/>
      <c r="L60" s="685">
        <f t="shared" si="9"/>
        <v>0</v>
      </c>
      <c r="M60" s="130"/>
      <c r="N60" s="685">
        <f t="shared" si="3"/>
        <v>0</v>
      </c>
      <c r="O60" s="685">
        <f t="shared" si="4"/>
        <v>0</v>
      </c>
      <c r="P60" s="652"/>
    </row>
    <row r="61" spans="2:16">
      <c r="B61" t="str">
        <f t="shared" si="0"/>
        <v/>
      </c>
      <c r="C61" s="678">
        <f>IF(D11="","-",+C60+1)</f>
        <v>2066</v>
      </c>
      <c r="D61" s="681">
        <f>IF(F60+SUM(E$17:E60)=D$10,F60,D$10-SUM(E$17:E60))</f>
        <v>0</v>
      </c>
      <c r="E61" s="69">
        <f t="shared" si="5"/>
        <v>0</v>
      </c>
      <c r="F61" s="681">
        <f t="shared" si="6"/>
        <v>0</v>
      </c>
      <c r="G61" s="687">
        <f t="shared" si="7"/>
        <v>0</v>
      </c>
      <c r="H61" s="677">
        <f t="shared" si="8"/>
        <v>0</v>
      </c>
      <c r="I61" s="682">
        <f t="shared" si="1"/>
        <v>0</v>
      </c>
      <c r="J61" s="682"/>
      <c r="K61" s="130"/>
      <c r="L61" s="685">
        <f t="shared" si="9"/>
        <v>0</v>
      </c>
      <c r="M61" s="130"/>
      <c r="N61" s="685">
        <f t="shared" si="3"/>
        <v>0</v>
      </c>
      <c r="O61" s="685">
        <f t="shared" si="4"/>
        <v>0</v>
      </c>
      <c r="P61" s="652"/>
    </row>
    <row r="62" spans="2:16">
      <c r="B62" t="str">
        <f t="shared" si="0"/>
        <v/>
      </c>
      <c r="C62" s="678">
        <f>IF(D11="","-",+C61+1)</f>
        <v>2067</v>
      </c>
      <c r="D62" s="681">
        <f>IF(F61+SUM(E$17:E61)=D$10,F61,D$10-SUM(E$17:E61))</f>
        <v>0</v>
      </c>
      <c r="E62" s="69">
        <f t="shared" si="5"/>
        <v>0</v>
      </c>
      <c r="F62" s="681">
        <f t="shared" si="6"/>
        <v>0</v>
      </c>
      <c r="G62" s="687">
        <f t="shared" si="7"/>
        <v>0</v>
      </c>
      <c r="H62" s="677">
        <f t="shared" si="8"/>
        <v>0</v>
      </c>
      <c r="I62" s="682">
        <f t="shared" si="1"/>
        <v>0</v>
      </c>
      <c r="J62" s="682"/>
      <c r="K62" s="130"/>
      <c r="L62" s="685">
        <f t="shared" si="9"/>
        <v>0</v>
      </c>
      <c r="M62" s="130"/>
      <c r="N62" s="685">
        <f t="shared" si="3"/>
        <v>0</v>
      </c>
      <c r="O62" s="685">
        <f t="shared" si="4"/>
        <v>0</v>
      </c>
      <c r="P62" s="652"/>
    </row>
    <row r="63" spans="2:16">
      <c r="B63" t="str">
        <f t="shared" si="0"/>
        <v/>
      </c>
      <c r="C63" s="678">
        <f>IF(D11="","-",+C62+1)</f>
        <v>2068</v>
      </c>
      <c r="D63" s="681">
        <f>IF(F62+SUM(E$17:E62)=D$10,F62,D$10-SUM(E$17:E62))</f>
        <v>0</v>
      </c>
      <c r="E63" s="69">
        <f t="shared" si="5"/>
        <v>0</v>
      </c>
      <c r="F63" s="681">
        <f t="shared" si="6"/>
        <v>0</v>
      </c>
      <c r="G63" s="687">
        <f t="shared" si="7"/>
        <v>0</v>
      </c>
      <c r="H63" s="677">
        <f t="shared" si="8"/>
        <v>0</v>
      </c>
      <c r="I63" s="682">
        <f t="shared" si="1"/>
        <v>0</v>
      </c>
      <c r="J63" s="682"/>
      <c r="K63" s="130"/>
      <c r="L63" s="685">
        <f t="shared" si="9"/>
        <v>0</v>
      </c>
      <c r="M63" s="130"/>
      <c r="N63" s="685">
        <f t="shared" si="3"/>
        <v>0</v>
      </c>
      <c r="O63" s="685">
        <f t="shared" si="4"/>
        <v>0</v>
      </c>
      <c r="P63" s="652"/>
    </row>
    <row r="64" spans="2:16">
      <c r="B64" t="str">
        <f t="shared" si="0"/>
        <v/>
      </c>
      <c r="C64" s="678">
        <f>IF(D11="","-",+C63+1)</f>
        <v>2069</v>
      </c>
      <c r="D64" s="681">
        <f>IF(F63+SUM(E$17:E63)=D$10,F63,D$10-SUM(E$17:E63))</f>
        <v>0</v>
      </c>
      <c r="E64" s="69">
        <f t="shared" si="5"/>
        <v>0</v>
      </c>
      <c r="F64" s="681">
        <f t="shared" si="6"/>
        <v>0</v>
      </c>
      <c r="G64" s="687">
        <f t="shared" si="7"/>
        <v>0</v>
      </c>
      <c r="H64" s="677">
        <f t="shared" si="8"/>
        <v>0</v>
      </c>
      <c r="I64" s="682">
        <f t="shared" si="1"/>
        <v>0</v>
      </c>
      <c r="J64" s="682"/>
      <c r="K64" s="130"/>
      <c r="L64" s="685">
        <f t="shared" si="9"/>
        <v>0</v>
      </c>
      <c r="M64" s="130"/>
      <c r="N64" s="685">
        <f t="shared" si="3"/>
        <v>0</v>
      </c>
      <c r="O64" s="685">
        <f t="shared" si="4"/>
        <v>0</v>
      </c>
      <c r="P64" s="652"/>
    </row>
    <row r="65" spans="2:16">
      <c r="B65" t="str">
        <f t="shared" si="0"/>
        <v/>
      </c>
      <c r="C65" s="678">
        <f>IF(D11="","-",+C64+1)</f>
        <v>2070</v>
      </c>
      <c r="D65" s="681">
        <f>IF(F64+SUM(E$17:E64)=D$10,F64,D$10-SUM(E$17:E64))</f>
        <v>0</v>
      </c>
      <c r="E65" s="69">
        <f t="shared" si="5"/>
        <v>0</v>
      </c>
      <c r="F65" s="681">
        <f t="shared" si="6"/>
        <v>0</v>
      </c>
      <c r="G65" s="687">
        <f t="shared" si="7"/>
        <v>0</v>
      </c>
      <c r="H65" s="677">
        <f t="shared" si="8"/>
        <v>0</v>
      </c>
      <c r="I65" s="682">
        <f t="shared" si="1"/>
        <v>0</v>
      </c>
      <c r="J65" s="682"/>
      <c r="K65" s="130"/>
      <c r="L65" s="685">
        <f t="shared" si="9"/>
        <v>0</v>
      </c>
      <c r="M65" s="130"/>
      <c r="N65" s="685">
        <f t="shared" si="3"/>
        <v>0</v>
      </c>
      <c r="O65" s="685">
        <f t="shared" si="4"/>
        <v>0</v>
      </c>
      <c r="P65" s="652"/>
    </row>
    <row r="66" spans="2:16">
      <c r="B66" t="str">
        <f t="shared" si="0"/>
        <v/>
      </c>
      <c r="C66" s="678">
        <f>IF(D11="","-",+C65+1)</f>
        <v>2071</v>
      </c>
      <c r="D66" s="681">
        <f>IF(F65+SUM(E$17:E65)=D$10,F65,D$10-SUM(E$17:E65))</f>
        <v>0</v>
      </c>
      <c r="E66" s="69">
        <f t="shared" si="5"/>
        <v>0</v>
      </c>
      <c r="F66" s="681">
        <f t="shared" si="6"/>
        <v>0</v>
      </c>
      <c r="G66" s="687">
        <f t="shared" si="7"/>
        <v>0</v>
      </c>
      <c r="H66" s="677">
        <f t="shared" si="8"/>
        <v>0</v>
      </c>
      <c r="I66" s="682">
        <f t="shared" si="1"/>
        <v>0</v>
      </c>
      <c r="J66" s="682"/>
      <c r="K66" s="130"/>
      <c r="L66" s="685">
        <f t="shared" si="9"/>
        <v>0</v>
      </c>
      <c r="M66" s="130"/>
      <c r="N66" s="685">
        <f t="shared" si="3"/>
        <v>0</v>
      </c>
      <c r="O66" s="685">
        <f t="shared" si="4"/>
        <v>0</v>
      </c>
      <c r="P66" s="652"/>
    </row>
    <row r="67" spans="2:16">
      <c r="B67" t="str">
        <f t="shared" si="0"/>
        <v/>
      </c>
      <c r="C67" s="678">
        <f>IF(D11="","-",+C66+1)</f>
        <v>2072</v>
      </c>
      <c r="D67" s="681">
        <f>IF(F66+SUM(E$17:E66)=D$10,F66,D$10-SUM(E$17:E66))</f>
        <v>0</v>
      </c>
      <c r="E67" s="69">
        <f t="shared" si="5"/>
        <v>0</v>
      </c>
      <c r="F67" s="681">
        <f t="shared" si="6"/>
        <v>0</v>
      </c>
      <c r="G67" s="687">
        <f t="shared" si="7"/>
        <v>0</v>
      </c>
      <c r="H67" s="677">
        <f t="shared" si="8"/>
        <v>0</v>
      </c>
      <c r="I67" s="682">
        <f t="shared" si="1"/>
        <v>0</v>
      </c>
      <c r="J67" s="682"/>
      <c r="K67" s="130"/>
      <c r="L67" s="685">
        <f t="shared" si="9"/>
        <v>0</v>
      </c>
      <c r="M67" s="130"/>
      <c r="N67" s="685">
        <f t="shared" si="3"/>
        <v>0</v>
      </c>
      <c r="O67" s="685">
        <f t="shared" si="4"/>
        <v>0</v>
      </c>
      <c r="P67" s="652"/>
    </row>
    <row r="68" spans="2:16">
      <c r="B68" t="str">
        <f t="shared" si="0"/>
        <v/>
      </c>
      <c r="C68" s="678">
        <f>IF(D11="","-",+C67+1)</f>
        <v>2073</v>
      </c>
      <c r="D68" s="681">
        <f>IF(F67+SUM(E$17:E67)=D$10,F67,D$10-SUM(E$17:E67))</f>
        <v>0</v>
      </c>
      <c r="E68" s="69">
        <f t="shared" si="5"/>
        <v>0</v>
      </c>
      <c r="F68" s="681">
        <f t="shared" si="6"/>
        <v>0</v>
      </c>
      <c r="G68" s="687">
        <f t="shared" si="7"/>
        <v>0</v>
      </c>
      <c r="H68" s="677">
        <f t="shared" si="8"/>
        <v>0</v>
      </c>
      <c r="I68" s="682">
        <f t="shared" si="1"/>
        <v>0</v>
      </c>
      <c r="J68" s="682"/>
      <c r="K68" s="130"/>
      <c r="L68" s="685">
        <f t="shared" si="9"/>
        <v>0</v>
      </c>
      <c r="M68" s="130"/>
      <c r="N68" s="685">
        <f t="shared" si="3"/>
        <v>0</v>
      </c>
      <c r="O68" s="685">
        <f t="shared" si="4"/>
        <v>0</v>
      </c>
      <c r="P68" s="652"/>
    </row>
    <row r="69" spans="2:16">
      <c r="B69" t="str">
        <f t="shared" si="0"/>
        <v/>
      </c>
      <c r="C69" s="678">
        <f>IF(D11="","-",+C68+1)</f>
        <v>2074</v>
      </c>
      <c r="D69" s="681">
        <f>IF(F68+SUM(E$17:E68)=D$10,F68,D$10-SUM(E$17:E68))</f>
        <v>0</v>
      </c>
      <c r="E69" s="69">
        <f t="shared" si="5"/>
        <v>0</v>
      </c>
      <c r="F69" s="681">
        <f t="shared" si="6"/>
        <v>0</v>
      </c>
      <c r="G69" s="687">
        <f t="shared" si="7"/>
        <v>0</v>
      </c>
      <c r="H69" s="677">
        <f t="shared" si="8"/>
        <v>0</v>
      </c>
      <c r="I69" s="682">
        <f t="shared" si="1"/>
        <v>0</v>
      </c>
      <c r="J69" s="682"/>
      <c r="K69" s="130"/>
      <c r="L69" s="685">
        <f t="shared" si="9"/>
        <v>0</v>
      </c>
      <c r="M69" s="130"/>
      <c r="N69" s="685">
        <f t="shared" si="3"/>
        <v>0</v>
      </c>
      <c r="O69" s="685">
        <f t="shared" si="4"/>
        <v>0</v>
      </c>
      <c r="P69" s="652"/>
    </row>
    <row r="70" spans="2:16">
      <c r="B70" t="str">
        <f t="shared" si="0"/>
        <v/>
      </c>
      <c r="C70" s="678">
        <f>IF(D11="","-",+C69+1)</f>
        <v>2075</v>
      </c>
      <c r="D70" s="681">
        <f>IF(F69+SUM(E$17:E69)=D$10,F69,D$10-SUM(E$17:E69))</f>
        <v>0</v>
      </c>
      <c r="E70" s="69">
        <f t="shared" si="5"/>
        <v>0</v>
      </c>
      <c r="F70" s="681">
        <f t="shared" si="6"/>
        <v>0</v>
      </c>
      <c r="G70" s="687">
        <f t="shared" si="7"/>
        <v>0</v>
      </c>
      <c r="H70" s="677">
        <f t="shared" si="8"/>
        <v>0</v>
      </c>
      <c r="I70" s="682">
        <f t="shared" si="1"/>
        <v>0</v>
      </c>
      <c r="J70" s="682"/>
      <c r="K70" s="130"/>
      <c r="L70" s="685">
        <f t="shared" si="9"/>
        <v>0</v>
      </c>
      <c r="M70" s="130"/>
      <c r="N70" s="685">
        <f t="shared" si="3"/>
        <v>0</v>
      </c>
      <c r="O70" s="685">
        <f t="shared" si="4"/>
        <v>0</v>
      </c>
      <c r="P70" s="652"/>
    </row>
    <row r="71" spans="2:16">
      <c r="B71" t="str">
        <f t="shared" si="0"/>
        <v/>
      </c>
      <c r="C71" s="678">
        <f>IF(D11="","-",+C70+1)</f>
        <v>2076</v>
      </c>
      <c r="D71" s="681">
        <f>IF(F70+SUM(E$17:E70)=D$10,F70,D$10-SUM(E$17:E70))</f>
        <v>0</v>
      </c>
      <c r="E71" s="69">
        <f t="shared" si="5"/>
        <v>0</v>
      </c>
      <c r="F71" s="681">
        <f t="shared" si="6"/>
        <v>0</v>
      </c>
      <c r="G71" s="687">
        <f t="shared" si="7"/>
        <v>0</v>
      </c>
      <c r="H71" s="677">
        <f t="shared" si="8"/>
        <v>0</v>
      </c>
      <c r="I71" s="682">
        <f t="shared" si="1"/>
        <v>0</v>
      </c>
      <c r="J71" s="682"/>
      <c r="K71" s="130"/>
      <c r="L71" s="685">
        <f t="shared" si="9"/>
        <v>0</v>
      </c>
      <c r="M71" s="130"/>
      <c r="N71" s="685">
        <f t="shared" si="3"/>
        <v>0</v>
      </c>
      <c r="O71" s="685">
        <f t="shared" si="4"/>
        <v>0</v>
      </c>
      <c r="P71" s="652"/>
    </row>
    <row r="72" spans="2:16">
      <c r="C72" s="678">
        <f>IF(D12="","-",+C71+1)</f>
        <v>2077</v>
      </c>
      <c r="D72" s="681">
        <f>IF(F71+SUM(E$17:E71)=D$10,F71,D$10-SUM(E$17:E71))</f>
        <v>0</v>
      </c>
      <c r="E72" s="69">
        <f>IF(+I$14&lt;F71,I$14,D72)</f>
        <v>0</v>
      </c>
      <c r="F72" s="681">
        <f>+D72-E72</f>
        <v>0</v>
      </c>
      <c r="G72" s="687">
        <f>(D72+F72)/2*I$12+E72</f>
        <v>0</v>
      </c>
      <c r="H72" s="677">
        <f>+(D72+F72)/2*I$13+E72</f>
        <v>0</v>
      </c>
      <c r="I72" s="682">
        <f>H72-G72</f>
        <v>0</v>
      </c>
      <c r="J72" s="682"/>
      <c r="K72" s="130"/>
      <c r="L72" s="685">
        <f>IF(K72&lt;&gt;0,+G72-K72,0)</f>
        <v>0</v>
      </c>
      <c r="M72" s="130"/>
      <c r="N72" s="685">
        <f>IF(M72&lt;&gt;0,+H72-M72,0)</f>
        <v>0</v>
      </c>
      <c r="O72" s="685">
        <f>+N72-L72</f>
        <v>0</v>
      </c>
      <c r="P72" s="652"/>
    </row>
    <row r="73" spans="2:16" ht="13" thickBot="1">
      <c r="B73" t="str">
        <f>IF(D73=F71,"","IU")</f>
        <v/>
      </c>
      <c r="C73" s="688">
        <f>IF(D13="","-",+C72+1)</f>
        <v>2078</v>
      </c>
      <c r="D73" s="75">
        <f>IF(F72+SUM(E$17:E72)=D$10,F72,D$10-SUM(E$17:E72))</f>
        <v>0</v>
      </c>
      <c r="E73" s="75">
        <f>IF(+I$14&lt;F72,I$14,D73)</f>
        <v>0</v>
      </c>
      <c r="F73" s="689">
        <f>+D73-E73</f>
        <v>0</v>
      </c>
      <c r="G73" s="690">
        <f>(D73+F73)/2*I$12+E73</f>
        <v>0</v>
      </c>
      <c r="H73" s="664">
        <f>+(D73+F73)/2*I$13+E73</f>
        <v>0</v>
      </c>
      <c r="I73" s="691">
        <f>H73-G73</f>
        <v>0</v>
      </c>
      <c r="J73" s="682"/>
      <c r="K73" s="131"/>
      <c r="L73" s="692">
        <f>IF(K73&lt;&gt;0,+G73-K73,0)</f>
        <v>0</v>
      </c>
      <c r="M73" s="131"/>
      <c r="N73" s="692">
        <f>IF(M73&lt;&gt;0,+H73-M73,0)</f>
        <v>0</v>
      </c>
      <c r="O73" s="692">
        <f>+N73-L73</f>
        <v>0</v>
      </c>
      <c r="P73" s="652"/>
    </row>
    <row r="74" spans="2:16">
      <c r="C74" s="679" t="s">
        <v>75</v>
      </c>
      <c r="D74" s="659"/>
      <c r="E74" s="659">
        <f>SUM(E17:E73)</f>
        <v>6667707.9799999995</v>
      </c>
      <c r="F74" s="659"/>
      <c r="G74" s="659">
        <f>SUM(G17:G73)</f>
        <v>19465715.582778659</v>
      </c>
      <c r="H74" s="659">
        <f>SUM(H17:H73)</f>
        <v>19465715.582778659</v>
      </c>
      <c r="I74" s="659">
        <f>SUM(I17:I73)</f>
        <v>0</v>
      </c>
      <c r="J74" s="659"/>
      <c r="K74" s="659"/>
      <c r="L74" s="659"/>
      <c r="M74" s="659"/>
      <c r="N74" s="659"/>
      <c r="O74" s="652"/>
      <c r="P74" s="652"/>
    </row>
    <row r="75" spans="2:16">
      <c r="D75" s="653"/>
      <c r="E75" s="652"/>
      <c r="F75" s="652"/>
      <c r="G75" s="652"/>
      <c r="H75" s="655"/>
      <c r="I75" s="655"/>
      <c r="J75" s="659"/>
      <c r="K75" s="655"/>
      <c r="L75" s="655"/>
      <c r="M75" s="655"/>
      <c r="N75" s="655"/>
      <c r="O75" s="652"/>
      <c r="P75" s="652"/>
    </row>
    <row r="76" spans="2:16" ht="13">
      <c r="C76" s="665" t="s">
        <v>95</v>
      </c>
      <c r="D76" s="653"/>
      <c r="E76" s="652"/>
      <c r="F76" s="652"/>
      <c r="G76" s="652"/>
      <c r="H76" s="655"/>
      <c r="I76" s="655"/>
      <c r="J76" s="659"/>
      <c r="K76" s="655"/>
      <c r="L76" s="655"/>
      <c r="M76" s="655"/>
      <c r="N76" s="655"/>
      <c r="O76" s="652"/>
      <c r="P76" s="652"/>
    </row>
    <row r="77" spans="2:16" ht="13">
      <c r="C77" s="662" t="s">
        <v>76</v>
      </c>
      <c r="D77" s="653"/>
      <c r="E77" s="652"/>
      <c r="F77" s="652"/>
      <c r="G77" s="652"/>
      <c r="H77" s="655"/>
      <c r="I77" s="655"/>
      <c r="J77" s="659"/>
      <c r="K77" s="655"/>
      <c r="L77" s="655"/>
      <c r="M77" s="655"/>
      <c r="N77" s="655"/>
      <c r="O77" s="652"/>
      <c r="P77" s="652"/>
    </row>
    <row r="78" spans="2:16" ht="13">
      <c r="C78" s="662" t="s">
        <v>77</v>
      </c>
      <c r="D78" s="679"/>
      <c r="E78" s="679"/>
      <c r="F78" s="679"/>
      <c r="G78" s="659"/>
      <c r="H78" s="659"/>
      <c r="I78" s="693"/>
      <c r="J78" s="693"/>
      <c r="K78" s="693"/>
      <c r="L78" s="693"/>
      <c r="M78" s="693"/>
      <c r="N78" s="693"/>
      <c r="O78" s="652"/>
      <c r="P78" s="652"/>
    </row>
    <row r="79" spans="2:16" ht="13">
      <c r="C79" s="662"/>
      <c r="D79" s="679"/>
      <c r="E79" s="679"/>
      <c r="F79" s="679"/>
      <c r="G79" s="659"/>
      <c r="H79" s="659"/>
      <c r="I79" s="693"/>
      <c r="J79" s="693"/>
      <c r="K79" s="693"/>
      <c r="L79" s="693"/>
      <c r="M79" s="693"/>
      <c r="N79" s="693"/>
      <c r="O79" s="652"/>
      <c r="P79" s="652"/>
    </row>
    <row r="80" spans="2:16">
      <c r="B80" s="652"/>
      <c r="C80" s="652"/>
      <c r="D80" s="653"/>
      <c r="E80" s="652"/>
      <c r="F80" s="679"/>
      <c r="G80" s="652"/>
      <c r="H80" s="655"/>
      <c r="I80" s="652"/>
      <c r="J80" s="652"/>
      <c r="K80" s="652"/>
      <c r="L80" s="652"/>
      <c r="M80" s="652"/>
      <c r="N80" s="652"/>
      <c r="O80" s="652"/>
      <c r="P80" s="652"/>
    </row>
    <row r="81" spans="1:16" ht="17.5">
      <c r="B81" s="652"/>
      <c r="C81" s="694"/>
      <c r="D81" s="653"/>
      <c r="E81" s="652"/>
      <c r="F81" s="679"/>
      <c r="G81" s="652"/>
      <c r="H81" s="655"/>
      <c r="I81" s="652"/>
      <c r="J81" s="652"/>
      <c r="K81" s="652"/>
      <c r="L81" s="652"/>
      <c r="M81" s="652"/>
      <c r="N81" s="652"/>
      <c r="P81" s="111" t="s">
        <v>128</v>
      </c>
    </row>
    <row r="82" spans="1:16">
      <c r="B82" s="652"/>
      <c r="C82" s="652"/>
      <c r="D82" s="653"/>
      <c r="E82" s="652"/>
      <c r="F82" s="679"/>
      <c r="G82" s="652"/>
      <c r="H82" s="655"/>
      <c r="I82" s="652"/>
      <c r="J82" s="652"/>
      <c r="K82" s="652"/>
      <c r="L82" s="652"/>
      <c r="M82" s="652"/>
      <c r="N82" s="652"/>
      <c r="O82" s="652"/>
      <c r="P82" s="652"/>
    </row>
    <row r="83" spans="1:16">
      <c r="B83" s="652"/>
      <c r="C83" s="652"/>
      <c r="D83" s="653"/>
      <c r="E83" s="652"/>
      <c r="F83" s="679"/>
      <c r="G83" s="652"/>
      <c r="H83" s="655"/>
      <c r="I83" s="652"/>
      <c r="J83" s="652"/>
      <c r="K83" s="652"/>
      <c r="L83" s="652"/>
      <c r="M83" s="652"/>
      <c r="N83" s="652"/>
      <c r="O83" s="652"/>
      <c r="P83" s="652"/>
    </row>
    <row r="84" spans="1:16" ht="20">
      <c r="A84" s="110" t="s">
        <v>190</v>
      </c>
      <c r="B84" s="652"/>
      <c r="C84" s="652"/>
      <c r="D84" s="653"/>
      <c r="E84" s="652"/>
      <c r="F84" s="654"/>
      <c r="G84" s="654"/>
      <c r="H84" s="652"/>
      <c r="I84" s="655"/>
      <c r="L84" s="18"/>
      <c r="M84" s="18"/>
      <c r="P84" s="18" t="str">
        <f>P1</f>
        <v>OKT Project 22 of 23</v>
      </c>
    </row>
    <row r="85" spans="1:16" ht="17.5">
      <c r="B85" s="652"/>
      <c r="C85" s="652"/>
      <c r="D85" s="653"/>
      <c r="E85" s="652"/>
      <c r="F85" s="652"/>
      <c r="G85" s="652"/>
      <c r="H85" s="652"/>
      <c r="I85" s="655"/>
      <c r="J85" s="652"/>
      <c r="K85" s="652"/>
      <c r="L85" s="652"/>
      <c r="M85" s="652"/>
      <c r="P85" s="117" t="s">
        <v>132</v>
      </c>
    </row>
    <row r="86" spans="1:16" ht="17.5" thickBot="1">
      <c r="B86" s="657" t="s">
        <v>42</v>
      </c>
      <c r="C86" s="695" t="s">
        <v>81</v>
      </c>
      <c r="D86" s="653"/>
      <c r="E86" s="652"/>
      <c r="F86" s="652"/>
      <c r="G86" s="652"/>
      <c r="H86" s="652"/>
      <c r="I86" s="655"/>
      <c r="J86" s="655"/>
      <c r="K86" s="659"/>
      <c r="L86" s="655"/>
      <c r="M86" s="655"/>
      <c r="N86" s="655"/>
      <c r="O86" s="659"/>
      <c r="P86" s="652"/>
    </row>
    <row r="87" spans="1:16" ht="16" thickBot="1">
      <c r="C87" s="660"/>
      <c r="D87" s="653"/>
      <c r="E87" s="652"/>
      <c r="F87" s="652"/>
      <c r="G87" s="652"/>
      <c r="H87" s="652"/>
      <c r="I87" s="655"/>
      <c r="J87" s="655"/>
      <c r="K87" s="659"/>
      <c r="L87" s="696">
        <f>+J93</f>
        <v>2023</v>
      </c>
      <c r="M87" s="697" t="s">
        <v>9</v>
      </c>
      <c r="N87" s="698" t="s">
        <v>134</v>
      </c>
      <c r="O87" s="699" t="s">
        <v>11</v>
      </c>
      <c r="P87" s="652"/>
    </row>
    <row r="88" spans="1:16" ht="15.5">
      <c r="C88" s="107" t="s">
        <v>44</v>
      </c>
      <c r="D88" s="653"/>
      <c r="E88" s="652"/>
      <c r="F88" s="652"/>
      <c r="G88" s="652"/>
      <c r="H88" s="21"/>
      <c r="I88" s="652" t="s">
        <v>45</v>
      </c>
      <c r="J88" s="652"/>
      <c r="K88" s="122"/>
      <c r="L88" s="700" t="s">
        <v>253</v>
      </c>
      <c r="M88" s="83">
        <f>IF(J93&lt;D11,0,VLOOKUP(J93,C17:O73,9))</f>
        <v>945957.92644739733</v>
      </c>
      <c r="N88" s="83">
        <f>IF(J93&lt;D11,0,VLOOKUP(J93,C17:O73,11))</f>
        <v>945957.92644739733</v>
      </c>
      <c r="O88" s="701">
        <f>+N88-M88</f>
        <v>0</v>
      </c>
      <c r="P88" s="652"/>
    </row>
    <row r="89" spans="1:16" ht="15.5">
      <c r="C89" s="8"/>
      <c r="D89" s="653"/>
      <c r="E89" s="652"/>
      <c r="F89" s="652"/>
      <c r="G89" s="652"/>
      <c r="H89" s="652"/>
      <c r="I89" s="26"/>
      <c r="J89" s="26"/>
      <c r="K89" s="124"/>
      <c r="L89" s="702" t="s">
        <v>254</v>
      </c>
      <c r="M89" s="85">
        <f>IF(J93&lt;D11,0,VLOOKUP(J93,C100:P155,6))</f>
        <v>1058401.8971714275</v>
      </c>
      <c r="N89" s="85">
        <f>IF(J93&lt;D11,0,VLOOKUP(J93,C100:P155,7))</f>
        <v>1058401.8971714275</v>
      </c>
      <c r="O89" s="703">
        <f>+N89-M89</f>
        <v>0</v>
      </c>
      <c r="P89" s="652"/>
    </row>
    <row r="90" spans="1:16" ht="13.5" thickBot="1">
      <c r="C90" s="662" t="s">
        <v>82</v>
      </c>
      <c r="D90" s="113" t="str">
        <f>+D7</f>
        <v>Pryor Junction 138/115 kV</v>
      </c>
      <c r="E90" s="652"/>
      <c r="F90" s="652"/>
      <c r="G90" s="652"/>
      <c r="H90" s="652"/>
      <c r="I90" s="655"/>
      <c r="J90" s="655"/>
      <c r="K90" s="126"/>
      <c r="L90" s="704" t="s">
        <v>135</v>
      </c>
      <c r="M90" s="88">
        <f>+M89-M88</f>
        <v>112443.97072403017</v>
      </c>
      <c r="N90" s="88">
        <f>+N89-N88</f>
        <v>112443.97072403017</v>
      </c>
      <c r="O90" s="89">
        <f>+O89-O88</f>
        <v>0</v>
      </c>
      <c r="P90" s="652"/>
    </row>
    <row r="91" spans="1:16" ht="13.5" thickBot="1">
      <c r="C91" s="665"/>
      <c r="D91" s="81" t="str">
        <f>IF(D8="","",D8)</f>
        <v/>
      </c>
      <c r="E91" s="679"/>
      <c r="F91" s="679"/>
      <c r="G91" s="679"/>
      <c r="H91" s="666"/>
      <c r="I91" s="655"/>
      <c r="J91" s="655"/>
      <c r="K91" s="659"/>
      <c r="L91" s="655"/>
      <c r="M91" s="655"/>
      <c r="N91" s="655"/>
      <c r="O91" s="659"/>
      <c r="P91" s="652"/>
    </row>
    <row r="92" spans="1:16" ht="13.5" thickBot="1">
      <c r="C92" s="705" t="s">
        <v>83</v>
      </c>
      <c r="D92" s="706" t="str">
        <f>+D9</f>
        <v>TP2019132</v>
      </c>
      <c r="E92" s="707"/>
      <c r="F92" s="707"/>
      <c r="G92" s="707"/>
      <c r="H92" s="707"/>
      <c r="I92" s="707"/>
      <c r="J92" s="707"/>
    </row>
    <row r="93" spans="1:16" ht="13">
      <c r="C93" s="672" t="s">
        <v>49</v>
      </c>
      <c r="D93" s="708">
        <f>D10</f>
        <v>6667707.9799999995</v>
      </c>
      <c r="E93" s="652" t="s">
        <v>84</v>
      </c>
      <c r="H93" s="653"/>
      <c r="I93" s="653"/>
      <c r="J93" s="472">
        <f>+'OKT.WS.G.BPU.ATRR.True-up'!M16</f>
        <v>2023</v>
      </c>
      <c r="K93" s="671"/>
      <c r="L93" s="659" t="s">
        <v>85</v>
      </c>
      <c r="P93" s="652"/>
    </row>
    <row r="94" spans="1:16">
      <c r="C94" s="672" t="s">
        <v>52</v>
      </c>
      <c r="D94" s="709">
        <f>IF(D11="","",D11)</f>
        <v>2022</v>
      </c>
      <c r="E94" s="672" t="s">
        <v>53</v>
      </c>
      <c r="F94" s="653"/>
      <c r="G94" s="653"/>
      <c r="J94" s="674">
        <v>0</v>
      </c>
      <c r="K94" s="675"/>
      <c r="L94" t="str">
        <f>"          INPUT TRUE-UP ARR (WITH &amp; WITHOUT INCENTIVES) FROM EACH PRIOR YEAR"</f>
        <v xml:space="preserve">          INPUT TRUE-UP ARR (WITH &amp; WITHOUT INCENTIVES) FROM EACH PRIOR YEAR</v>
      </c>
      <c r="P94" s="652"/>
    </row>
    <row r="95" spans="1:16">
      <c r="C95" s="672" t="s">
        <v>54</v>
      </c>
      <c r="D95" s="709">
        <f>IF(D12="","",D12)</f>
        <v>6</v>
      </c>
      <c r="E95" s="672" t="s">
        <v>55</v>
      </c>
      <c r="F95" s="653"/>
      <c r="G95" s="653"/>
      <c r="J95" s="676">
        <v>0.11475877389767174</v>
      </c>
      <c r="K95" s="654"/>
      <c r="L95" t="s">
        <v>86</v>
      </c>
      <c r="P95" s="652"/>
    </row>
    <row r="96" spans="1:16">
      <c r="C96" s="672" t="s">
        <v>57</v>
      </c>
      <c r="D96" s="674">
        <v>21</v>
      </c>
      <c r="E96" s="672" t="s">
        <v>58</v>
      </c>
      <c r="F96" s="653"/>
      <c r="G96" s="653"/>
      <c r="J96" s="676">
        <v>0.11475877389767174</v>
      </c>
      <c r="K96" s="654"/>
      <c r="L96" s="659" t="s">
        <v>59</v>
      </c>
      <c r="M96" s="654"/>
      <c r="N96" s="654"/>
      <c r="O96" s="654"/>
      <c r="P96" s="652"/>
    </row>
    <row r="97" spans="1:16" ht="13" thickBot="1">
      <c r="C97" s="672" t="s">
        <v>60</v>
      </c>
      <c r="D97" s="710" t="str">
        <f>+D14</f>
        <v>No</v>
      </c>
      <c r="E97" s="711" t="s">
        <v>62</v>
      </c>
      <c r="F97" s="712"/>
      <c r="G97" s="712"/>
      <c r="H97" s="94"/>
      <c r="I97" s="94"/>
      <c r="J97" s="664">
        <f>IF(D93=0,0,D93/D96)</f>
        <v>317509.90380952379</v>
      </c>
      <c r="K97" s="659"/>
      <c r="L97" s="659"/>
      <c r="M97" s="659"/>
      <c r="N97" s="659"/>
      <c r="O97" s="659"/>
      <c r="P97" s="652"/>
    </row>
    <row r="98" spans="1:16" ht="39">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7" t="s">
        <v>93</v>
      </c>
      <c r="K99" s="55"/>
      <c r="L99" s="61" t="s">
        <v>74</v>
      </c>
      <c r="M99" s="61" t="s">
        <v>74</v>
      </c>
      <c r="N99" s="61" t="s">
        <v>94</v>
      </c>
      <c r="O99" s="61" t="s">
        <v>94</v>
      </c>
      <c r="P99" s="61" t="s">
        <v>94</v>
      </c>
    </row>
    <row r="100" spans="1:16">
      <c r="B100" t="str">
        <f t="shared" ref="B100:B155" si="10">IF(D100=F99,"","IU")</f>
        <v>IU</v>
      </c>
      <c r="C100" s="678">
        <f>IF(D94= "","-",D94)</f>
        <v>2022</v>
      </c>
      <c r="D100" s="721">
        <v>0</v>
      </c>
      <c r="E100" s="721">
        <v>52871.560873015871</v>
      </c>
      <c r="F100" s="721">
        <v>6608945.1091269841</v>
      </c>
      <c r="G100" s="721">
        <v>3304472.5545634921</v>
      </c>
      <c r="H100" s="721">
        <v>432088.77961322945</v>
      </c>
      <c r="I100" s="721">
        <v>432088.77961322945</v>
      </c>
      <c r="J100" s="685">
        <f t="shared" ref="J100:J131" si="11">+I100-H100</f>
        <v>0</v>
      </c>
      <c r="K100" s="685"/>
      <c r="L100" s="714">
        <f>+H100</f>
        <v>432088.77961322945</v>
      </c>
      <c r="M100" s="685">
        <f t="shared" ref="M100:M131" si="12">IF(L100&lt;&gt;0,+H100-L100,0)</f>
        <v>0</v>
      </c>
      <c r="N100" s="714">
        <f>+I100</f>
        <v>432088.77961322945</v>
      </c>
      <c r="O100" s="684">
        <f t="shared" ref="O100:O131" si="13">IF(N100&lt;&gt;0,+I100-N100,0)</f>
        <v>0</v>
      </c>
      <c r="P100" s="684">
        <f t="shared" ref="P100:P131" si="14">+O100-M100</f>
        <v>0</v>
      </c>
    </row>
    <row r="101" spans="1:16">
      <c r="B101" t="str">
        <f t="shared" si="10"/>
        <v>IU</v>
      </c>
      <c r="C101" s="678">
        <f>IF(D94="","-",+C100+1)</f>
        <v>2023</v>
      </c>
      <c r="D101" s="679">
        <f>IF(F100+SUM(E$100:E100)=D$93,F100,D$93-SUM(E$100:E100))</f>
        <v>6614836.4191269837</v>
      </c>
      <c r="E101" s="510">
        <f t="shared" ref="E101:E155" si="15">IF(+J$97&lt;F100,J$97,D101)</f>
        <v>317509.90380952379</v>
      </c>
      <c r="F101" s="681">
        <f t="shared" ref="F101:F155" si="16">+D101-E101</f>
        <v>6297326.5153174596</v>
      </c>
      <c r="G101" s="681">
        <f t="shared" ref="G101:G155" si="17">+(F101+D101)/2</f>
        <v>6456081.4672222212</v>
      </c>
      <c r="H101" s="645">
        <f t="shared" ref="H101:H102" si="18">(D101+F101)/2*J$95+E101</f>
        <v>1058401.8971714275</v>
      </c>
      <c r="I101" s="628">
        <f t="shared" ref="I101:I155" si="19">+J$96*G101+E101</f>
        <v>1058401.8971714275</v>
      </c>
      <c r="J101" s="685">
        <f t="shared" si="11"/>
        <v>0</v>
      </c>
      <c r="K101" s="685"/>
      <c r="L101" s="130"/>
      <c r="M101" s="685">
        <f t="shared" si="12"/>
        <v>0</v>
      </c>
      <c r="N101" s="130"/>
      <c r="O101" s="685">
        <f t="shared" si="13"/>
        <v>0</v>
      </c>
      <c r="P101" s="685">
        <f t="shared" si="14"/>
        <v>0</v>
      </c>
    </row>
    <row r="102" spans="1:16">
      <c r="B102" t="str">
        <f t="shared" si="10"/>
        <v/>
      </c>
      <c r="C102" s="678">
        <f>IF(D94="","-",+C101+1)</f>
        <v>2024</v>
      </c>
      <c r="D102" s="679">
        <f>IF(F101+SUM(E$100:E101)=D$93,F101,D$93-SUM(E$100:E101))</f>
        <v>6297326.5153174596</v>
      </c>
      <c r="E102" s="510">
        <f t="shared" si="15"/>
        <v>317509.90380952379</v>
      </c>
      <c r="F102" s="681">
        <f t="shared" si="16"/>
        <v>5979816.6115079354</v>
      </c>
      <c r="G102" s="681">
        <f t="shared" si="17"/>
        <v>6138571.563412698</v>
      </c>
      <c r="H102" s="645">
        <f t="shared" si="18"/>
        <v>1021964.8499098789</v>
      </c>
      <c r="I102" s="628">
        <f t="shared" si="19"/>
        <v>1021964.8499098789</v>
      </c>
      <c r="J102" s="685">
        <f t="shared" si="11"/>
        <v>0</v>
      </c>
      <c r="K102" s="685"/>
      <c r="L102" s="130"/>
      <c r="M102" s="685">
        <f t="shared" si="12"/>
        <v>0</v>
      </c>
      <c r="N102" s="130"/>
      <c r="O102" s="685">
        <f t="shared" si="13"/>
        <v>0</v>
      </c>
      <c r="P102" s="685">
        <f t="shared" si="14"/>
        <v>0</v>
      </c>
    </row>
    <row r="103" spans="1:16">
      <c r="B103" t="str">
        <f t="shared" si="10"/>
        <v/>
      </c>
      <c r="C103" s="678">
        <f>IF(D94="","-",+C102+1)</f>
        <v>2025</v>
      </c>
      <c r="D103" s="679">
        <f>IF(F102+SUM(E$100:E102)=D$93,F102,D$93-SUM(E$100:E102))</f>
        <v>5979816.6115079354</v>
      </c>
      <c r="E103" s="69">
        <f t="shared" si="15"/>
        <v>317509.90380952379</v>
      </c>
      <c r="F103" s="681">
        <f t="shared" si="16"/>
        <v>5662306.7076984113</v>
      </c>
      <c r="G103" s="681">
        <f t="shared" si="17"/>
        <v>5821061.6596031729</v>
      </c>
      <c r="H103" s="128">
        <f t="shared" ref="H103:H107" si="20">+J$95*G103+E103</f>
        <v>985527.80264833011</v>
      </c>
      <c r="I103" s="137">
        <f t="shared" si="19"/>
        <v>985527.80264833011</v>
      </c>
      <c r="J103" s="685">
        <f t="shared" si="11"/>
        <v>0</v>
      </c>
      <c r="K103" s="685"/>
      <c r="L103" s="130"/>
      <c r="M103" s="685">
        <f t="shared" si="12"/>
        <v>0</v>
      </c>
      <c r="N103" s="130"/>
      <c r="O103" s="685">
        <f t="shared" si="13"/>
        <v>0</v>
      </c>
      <c r="P103" s="685">
        <f t="shared" si="14"/>
        <v>0</v>
      </c>
    </row>
    <row r="104" spans="1:16">
      <c r="B104" t="str">
        <f t="shared" si="10"/>
        <v/>
      </c>
      <c r="C104" s="678">
        <f>IF(D94="","-",+C103+1)</f>
        <v>2026</v>
      </c>
      <c r="D104" s="679">
        <f>IF(F103+SUM(E$100:E103)=D$93,F103,D$93-SUM(E$100:E103))</f>
        <v>5662306.7076984113</v>
      </c>
      <c r="E104" s="69">
        <f t="shared" si="15"/>
        <v>317509.90380952379</v>
      </c>
      <c r="F104" s="681">
        <f t="shared" si="16"/>
        <v>5344796.8038888872</v>
      </c>
      <c r="G104" s="681">
        <f t="shared" si="17"/>
        <v>5503551.7557936497</v>
      </c>
      <c r="H104" s="128">
        <f t="shared" si="20"/>
        <v>949090.75538678153</v>
      </c>
      <c r="I104" s="137">
        <f t="shared" si="19"/>
        <v>949090.75538678153</v>
      </c>
      <c r="J104" s="685">
        <f t="shared" si="11"/>
        <v>0</v>
      </c>
      <c r="K104" s="685"/>
      <c r="L104" s="130"/>
      <c r="M104" s="685">
        <f t="shared" si="12"/>
        <v>0</v>
      </c>
      <c r="N104" s="130"/>
      <c r="O104" s="685">
        <f t="shared" si="13"/>
        <v>0</v>
      </c>
      <c r="P104" s="685">
        <f t="shared" si="14"/>
        <v>0</v>
      </c>
    </row>
    <row r="105" spans="1:16">
      <c r="B105" t="str">
        <f t="shared" si="10"/>
        <v/>
      </c>
      <c r="C105" s="678">
        <f>IF(D94="","-",+C104+1)</f>
        <v>2027</v>
      </c>
      <c r="D105" s="679">
        <f>IF(F104+SUM(E$100:E104)=D$93,F104,D$93-SUM(E$100:E104))</f>
        <v>5344796.8038888872</v>
      </c>
      <c r="E105" s="69">
        <f t="shared" si="15"/>
        <v>317509.90380952379</v>
      </c>
      <c r="F105" s="681">
        <f t="shared" si="16"/>
        <v>5027286.900079363</v>
      </c>
      <c r="G105" s="681">
        <f t="shared" si="17"/>
        <v>5186041.8519841246</v>
      </c>
      <c r="H105" s="128">
        <f t="shared" si="20"/>
        <v>912653.70812523272</v>
      </c>
      <c r="I105" s="137">
        <f t="shared" si="19"/>
        <v>912653.70812523272</v>
      </c>
      <c r="J105" s="685">
        <f t="shared" si="11"/>
        <v>0</v>
      </c>
      <c r="K105" s="685"/>
      <c r="L105" s="130"/>
      <c r="M105" s="685">
        <f t="shared" si="12"/>
        <v>0</v>
      </c>
      <c r="N105" s="130"/>
      <c r="O105" s="685">
        <f t="shared" si="13"/>
        <v>0</v>
      </c>
      <c r="P105" s="685">
        <f t="shared" si="14"/>
        <v>0</v>
      </c>
    </row>
    <row r="106" spans="1:16">
      <c r="B106" t="str">
        <f t="shared" si="10"/>
        <v/>
      </c>
      <c r="C106" s="678">
        <f>IF(D94="","-",+C105+1)</f>
        <v>2028</v>
      </c>
      <c r="D106" s="679">
        <f>IF(F105+SUM(E$100:E105)=D$93,F105,D$93-SUM(E$100:E105))</f>
        <v>5027286.900079363</v>
      </c>
      <c r="E106" s="69">
        <f t="shared" si="15"/>
        <v>317509.90380952379</v>
      </c>
      <c r="F106" s="681">
        <f t="shared" si="16"/>
        <v>4709776.9962698389</v>
      </c>
      <c r="G106" s="681">
        <f t="shared" si="17"/>
        <v>4868531.9481746014</v>
      </c>
      <c r="H106" s="128">
        <f t="shared" si="20"/>
        <v>876216.66086368414</v>
      </c>
      <c r="I106" s="137">
        <f t="shared" si="19"/>
        <v>876216.66086368414</v>
      </c>
      <c r="J106" s="685">
        <f t="shared" si="11"/>
        <v>0</v>
      </c>
      <c r="K106" s="685"/>
      <c r="L106" s="130"/>
      <c r="M106" s="685">
        <f t="shared" si="12"/>
        <v>0</v>
      </c>
      <c r="N106" s="130"/>
      <c r="O106" s="685">
        <f t="shared" si="13"/>
        <v>0</v>
      </c>
      <c r="P106" s="685">
        <f t="shared" si="14"/>
        <v>0</v>
      </c>
    </row>
    <row r="107" spans="1:16">
      <c r="B107" t="str">
        <f t="shared" si="10"/>
        <v/>
      </c>
      <c r="C107" s="678">
        <f>IF(D94="","-",+C106+1)</f>
        <v>2029</v>
      </c>
      <c r="D107" s="679">
        <f>IF(F106+SUM(E$100:E106)=D$93,F106,D$93-SUM(E$100:E106))</f>
        <v>4709776.9962698389</v>
      </c>
      <c r="E107" s="69">
        <f t="shared" si="15"/>
        <v>317509.90380952379</v>
      </c>
      <c r="F107" s="681">
        <f t="shared" si="16"/>
        <v>4392267.0924603147</v>
      </c>
      <c r="G107" s="681">
        <f t="shared" si="17"/>
        <v>4551022.0443650763</v>
      </c>
      <c r="H107" s="128">
        <f t="shared" si="20"/>
        <v>839779.61360213533</v>
      </c>
      <c r="I107" s="137">
        <f t="shared" si="19"/>
        <v>839779.61360213533</v>
      </c>
      <c r="J107" s="685">
        <f t="shared" si="11"/>
        <v>0</v>
      </c>
      <c r="K107" s="685"/>
      <c r="L107" s="130"/>
      <c r="M107" s="685">
        <f t="shared" si="12"/>
        <v>0</v>
      </c>
      <c r="N107" s="130"/>
      <c r="O107" s="685">
        <f t="shared" si="13"/>
        <v>0</v>
      </c>
      <c r="P107" s="685">
        <f t="shared" si="14"/>
        <v>0</v>
      </c>
    </row>
    <row r="108" spans="1:16">
      <c r="B108" t="str">
        <f t="shared" si="10"/>
        <v/>
      </c>
      <c r="C108" s="678">
        <f>IF(D94="","-",+C107+1)</f>
        <v>2030</v>
      </c>
      <c r="D108" s="679">
        <f>IF(F107+SUM(E$100:E107)=D$93,F107,D$93-SUM(E$100:E107))</f>
        <v>4392267.0924603147</v>
      </c>
      <c r="E108" s="510">
        <f t="shared" si="15"/>
        <v>317509.90380952379</v>
      </c>
      <c r="F108" s="681">
        <f t="shared" si="16"/>
        <v>4074757.1886507911</v>
      </c>
      <c r="G108" s="681">
        <f t="shared" si="17"/>
        <v>4233512.1405555531</v>
      </c>
      <c r="H108" s="645">
        <f t="shared" ref="H108:H155" si="21">(D108+F108)/2*J$95+E108</f>
        <v>803342.56634058687</v>
      </c>
      <c r="I108" s="628">
        <f t="shared" si="19"/>
        <v>803342.56634058687</v>
      </c>
      <c r="J108" s="685">
        <f t="shared" si="11"/>
        <v>0</v>
      </c>
      <c r="K108" s="685"/>
      <c r="L108" s="130"/>
      <c r="M108" s="685">
        <f t="shared" si="12"/>
        <v>0</v>
      </c>
      <c r="N108" s="130"/>
      <c r="O108" s="685">
        <f t="shared" si="13"/>
        <v>0</v>
      </c>
      <c r="P108" s="685">
        <f t="shared" si="14"/>
        <v>0</v>
      </c>
    </row>
    <row r="109" spans="1:16">
      <c r="B109" t="str">
        <f t="shared" si="10"/>
        <v/>
      </c>
      <c r="C109" s="678">
        <f>IF(D94="","-",+C108+1)</f>
        <v>2031</v>
      </c>
      <c r="D109" s="679">
        <f>IF(F108+SUM(E$100:E108)=D$93,F108,D$93-SUM(E$100:E108))</f>
        <v>4074757.1886507911</v>
      </c>
      <c r="E109" s="510">
        <f t="shared" si="15"/>
        <v>317509.90380952379</v>
      </c>
      <c r="F109" s="681">
        <f t="shared" si="16"/>
        <v>3757247.2848412674</v>
      </c>
      <c r="G109" s="681">
        <f t="shared" si="17"/>
        <v>3916002.236746029</v>
      </c>
      <c r="H109" s="645">
        <f t="shared" si="21"/>
        <v>766905.51907903817</v>
      </c>
      <c r="I109" s="628">
        <f t="shared" si="19"/>
        <v>766905.51907903817</v>
      </c>
      <c r="J109" s="685">
        <f t="shared" si="11"/>
        <v>0</v>
      </c>
      <c r="K109" s="685"/>
      <c r="L109" s="130"/>
      <c r="M109" s="685">
        <f t="shared" si="12"/>
        <v>0</v>
      </c>
      <c r="N109" s="130"/>
      <c r="O109" s="685">
        <f t="shared" si="13"/>
        <v>0</v>
      </c>
      <c r="P109" s="685">
        <f t="shared" si="14"/>
        <v>0</v>
      </c>
    </row>
    <row r="110" spans="1:16">
      <c r="B110" t="str">
        <f t="shared" si="10"/>
        <v/>
      </c>
      <c r="C110" s="678">
        <f>IF(D94="","-",+C109+1)</f>
        <v>2032</v>
      </c>
      <c r="D110" s="679">
        <f>IF(F109+SUM(E$100:E109)=D$93,F109,D$93-SUM(E$100:E109))</f>
        <v>3757247.2848412674</v>
      </c>
      <c r="E110" s="510">
        <f t="shared" si="15"/>
        <v>317509.90380952379</v>
      </c>
      <c r="F110" s="681">
        <f t="shared" si="16"/>
        <v>3439737.3810317437</v>
      </c>
      <c r="G110" s="681">
        <f t="shared" si="17"/>
        <v>3598492.3329365058</v>
      </c>
      <c r="H110" s="645">
        <f t="shared" si="21"/>
        <v>730468.47181748948</v>
      </c>
      <c r="I110" s="628">
        <f t="shared" si="19"/>
        <v>730468.47181748948</v>
      </c>
      <c r="J110" s="685">
        <f t="shared" si="11"/>
        <v>0</v>
      </c>
      <c r="K110" s="685"/>
      <c r="L110" s="130"/>
      <c r="M110" s="685">
        <f t="shared" si="12"/>
        <v>0</v>
      </c>
      <c r="N110" s="130"/>
      <c r="O110" s="685">
        <f t="shared" si="13"/>
        <v>0</v>
      </c>
      <c r="P110" s="685">
        <f t="shared" si="14"/>
        <v>0</v>
      </c>
    </row>
    <row r="111" spans="1:16">
      <c r="B111" t="str">
        <f t="shared" si="10"/>
        <v/>
      </c>
      <c r="C111" s="678">
        <f>IF(D94="","-",+C110+1)</f>
        <v>2033</v>
      </c>
      <c r="D111" s="679">
        <f>IF(F110+SUM(E$100:E110)=D$93,F110,D$93-SUM(E$100:E110))</f>
        <v>3439737.3810317437</v>
      </c>
      <c r="E111" s="510">
        <f t="shared" si="15"/>
        <v>317509.90380952379</v>
      </c>
      <c r="F111" s="681">
        <f t="shared" si="16"/>
        <v>3122227.47722222</v>
      </c>
      <c r="G111" s="681">
        <f t="shared" si="17"/>
        <v>3280982.4291269816</v>
      </c>
      <c r="H111" s="645">
        <f t="shared" si="21"/>
        <v>694031.42455594079</v>
      </c>
      <c r="I111" s="628">
        <f t="shared" si="19"/>
        <v>694031.42455594079</v>
      </c>
      <c r="J111" s="685">
        <f t="shared" si="11"/>
        <v>0</v>
      </c>
      <c r="K111" s="685"/>
      <c r="L111" s="130"/>
      <c r="M111" s="685">
        <f t="shared" si="12"/>
        <v>0</v>
      </c>
      <c r="N111" s="130"/>
      <c r="O111" s="685">
        <f t="shared" si="13"/>
        <v>0</v>
      </c>
      <c r="P111" s="685">
        <f t="shared" si="14"/>
        <v>0</v>
      </c>
    </row>
    <row r="112" spans="1:16">
      <c r="B112" t="str">
        <f t="shared" si="10"/>
        <v/>
      </c>
      <c r="C112" s="678">
        <f>IF(D94="","-",+C111+1)</f>
        <v>2034</v>
      </c>
      <c r="D112" s="679">
        <f>IF(F111+SUM(E$100:E111)=D$93,F111,D$93-SUM(E$100:E111))</f>
        <v>3122227.47722222</v>
      </c>
      <c r="E112" s="510">
        <f t="shared" si="15"/>
        <v>317509.90380952379</v>
      </c>
      <c r="F112" s="681">
        <f t="shared" si="16"/>
        <v>2804717.5734126964</v>
      </c>
      <c r="G112" s="681">
        <f t="shared" si="17"/>
        <v>2963472.5253174584</v>
      </c>
      <c r="H112" s="645">
        <f t="shared" si="21"/>
        <v>657594.37729439232</v>
      </c>
      <c r="I112" s="628">
        <f t="shared" si="19"/>
        <v>657594.37729439232</v>
      </c>
      <c r="J112" s="685">
        <f t="shared" si="11"/>
        <v>0</v>
      </c>
      <c r="K112" s="685"/>
      <c r="L112" s="130"/>
      <c r="M112" s="685">
        <f t="shared" si="12"/>
        <v>0</v>
      </c>
      <c r="N112" s="130"/>
      <c r="O112" s="685">
        <f t="shared" si="13"/>
        <v>0</v>
      </c>
      <c r="P112" s="685">
        <f t="shared" si="14"/>
        <v>0</v>
      </c>
    </row>
    <row r="113" spans="2:16">
      <c r="B113" t="str">
        <f t="shared" si="10"/>
        <v/>
      </c>
      <c r="C113" s="678">
        <f>IF(D94="","-",+C112+1)</f>
        <v>2035</v>
      </c>
      <c r="D113" s="679">
        <f>IF(F112+SUM(E$100:E112)=D$93,F112,D$93-SUM(E$100:E112))</f>
        <v>2804717.5734126964</v>
      </c>
      <c r="E113" s="510">
        <f t="shared" si="15"/>
        <v>317509.90380952379</v>
      </c>
      <c r="F113" s="681">
        <f t="shared" si="16"/>
        <v>2487207.6696031727</v>
      </c>
      <c r="G113" s="681">
        <f t="shared" si="17"/>
        <v>2645962.6215079343</v>
      </c>
      <c r="H113" s="645">
        <f t="shared" si="21"/>
        <v>621157.33003284363</v>
      </c>
      <c r="I113" s="628">
        <f t="shared" si="19"/>
        <v>621157.33003284363</v>
      </c>
      <c r="J113" s="685">
        <f t="shared" si="11"/>
        <v>0</v>
      </c>
      <c r="K113" s="685"/>
      <c r="L113" s="130"/>
      <c r="M113" s="685">
        <f t="shared" si="12"/>
        <v>0</v>
      </c>
      <c r="N113" s="130"/>
      <c r="O113" s="685">
        <f t="shared" si="13"/>
        <v>0</v>
      </c>
      <c r="P113" s="685">
        <f t="shared" si="14"/>
        <v>0</v>
      </c>
    </row>
    <row r="114" spans="2:16">
      <c r="B114" t="str">
        <f t="shared" si="10"/>
        <v/>
      </c>
      <c r="C114" s="678">
        <f>IF(D94="","-",+C113+1)</f>
        <v>2036</v>
      </c>
      <c r="D114" s="679">
        <f>IF(F113+SUM(E$100:E113)=D$93,F113,D$93-SUM(E$100:E113))</f>
        <v>2487207.6696031727</v>
      </c>
      <c r="E114" s="510">
        <f t="shared" si="15"/>
        <v>317509.90380952379</v>
      </c>
      <c r="F114" s="681">
        <f t="shared" si="16"/>
        <v>2169697.765793649</v>
      </c>
      <c r="G114" s="681">
        <f t="shared" si="17"/>
        <v>2328452.7176984111</v>
      </c>
      <c r="H114" s="645">
        <f t="shared" si="21"/>
        <v>584720.28277129505</v>
      </c>
      <c r="I114" s="628">
        <f t="shared" si="19"/>
        <v>584720.28277129505</v>
      </c>
      <c r="J114" s="685">
        <f t="shared" si="11"/>
        <v>0</v>
      </c>
      <c r="K114" s="685"/>
      <c r="L114" s="130"/>
      <c r="M114" s="685">
        <f t="shared" si="12"/>
        <v>0</v>
      </c>
      <c r="N114" s="130"/>
      <c r="O114" s="685">
        <f t="shared" si="13"/>
        <v>0</v>
      </c>
      <c r="P114" s="685">
        <f t="shared" si="14"/>
        <v>0</v>
      </c>
    </row>
    <row r="115" spans="2:16">
      <c r="B115" t="str">
        <f t="shared" si="10"/>
        <v/>
      </c>
      <c r="C115" s="678">
        <f>IF(D94="","-",+C114+1)</f>
        <v>2037</v>
      </c>
      <c r="D115" s="679">
        <f>IF(F114+SUM(E$100:E114)=D$93,F114,D$93-SUM(E$100:E114))</f>
        <v>2169697.765793649</v>
      </c>
      <c r="E115" s="510">
        <f t="shared" si="15"/>
        <v>317509.90380952379</v>
      </c>
      <c r="F115" s="681">
        <f t="shared" si="16"/>
        <v>1852187.8619841253</v>
      </c>
      <c r="G115" s="681">
        <f t="shared" si="17"/>
        <v>2010942.8138888872</v>
      </c>
      <c r="H115" s="645">
        <f t="shared" si="21"/>
        <v>548283.23550974636</v>
      </c>
      <c r="I115" s="628">
        <f t="shared" si="19"/>
        <v>548283.23550974636</v>
      </c>
      <c r="J115" s="685">
        <f t="shared" si="11"/>
        <v>0</v>
      </c>
      <c r="K115" s="685"/>
      <c r="L115" s="130"/>
      <c r="M115" s="685">
        <f t="shared" si="12"/>
        <v>0</v>
      </c>
      <c r="N115" s="130"/>
      <c r="O115" s="685">
        <f t="shared" si="13"/>
        <v>0</v>
      </c>
      <c r="P115" s="685">
        <f t="shared" si="14"/>
        <v>0</v>
      </c>
    </row>
    <row r="116" spans="2:16">
      <c r="B116" t="str">
        <f t="shared" si="10"/>
        <v/>
      </c>
      <c r="C116" s="678">
        <f>IF(D94="","-",+C115+1)</f>
        <v>2038</v>
      </c>
      <c r="D116" s="679">
        <f>IF(F115+SUM(E$100:E115)=D$93,F115,D$93-SUM(E$100:E115))</f>
        <v>1852187.8619841253</v>
      </c>
      <c r="E116" s="510">
        <f t="shared" si="15"/>
        <v>317509.90380952379</v>
      </c>
      <c r="F116" s="681">
        <f t="shared" si="16"/>
        <v>1534677.9581746017</v>
      </c>
      <c r="G116" s="681">
        <f t="shared" si="17"/>
        <v>1693432.9100793635</v>
      </c>
      <c r="H116" s="645">
        <f t="shared" si="21"/>
        <v>511846.18824819778</v>
      </c>
      <c r="I116" s="628">
        <f t="shared" si="19"/>
        <v>511846.18824819778</v>
      </c>
      <c r="J116" s="685">
        <f t="shared" si="11"/>
        <v>0</v>
      </c>
      <c r="K116" s="685"/>
      <c r="L116" s="130"/>
      <c r="M116" s="685">
        <f t="shared" si="12"/>
        <v>0</v>
      </c>
      <c r="N116" s="130"/>
      <c r="O116" s="685">
        <f t="shared" si="13"/>
        <v>0</v>
      </c>
      <c r="P116" s="685">
        <f t="shared" si="14"/>
        <v>0</v>
      </c>
    </row>
    <row r="117" spans="2:16">
      <c r="B117" t="str">
        <f t="shared" si="10"/>
        <v/>
      </c>
      <c r="C117" s="678">
        <f>IF(D94="","-",+C116+1)</f>
        <v>2039</v>
      </c>
      <c r="D117" s="679">
        <f>IF(F116+SUM(E$100:E116)=D$93,F116,D$93-SUM(E$100:E116))</f>
        <v>1534677.9581746017</v>
      </c>
      <c r="E117" s="510">
        <f t="shared" si="15"/>
        <v>317509.90380952379</v>
      </c>
      <c r="F117" s="681">
        <f t="shared" si="16"/>
        <v>1217168.054365078</v>
      </c>
      <c r="G117" s="681">
        <f t="shared" si="17"/>
        <v>1375923.0062698398</v>
      </c>
      <c r="H117" s="645">
        <f t="shared" si="21"/>
        <v>475409.14098664909</v>
      </c>
      <c r="I117" s="628">
        <f t="shared" si="19"/>
        <v>475409.14098664909</v>
      </c>
      <c r="J117" s="685">
        <f t="shared" si="11"/>
        <v>0</v>
      </c>
      <c r="K117" s="685"/>
      <c r="L117" s="130"/>
      <c r="M117" s="685">
        <f t="shared" si="12"/>
        <v>0</v>
      </c>
      <c r="N117" s="130"/>
      <c r="O117" s="685">
        <f t="shared" si="13"/>
        <v>0</v>
      </c>
      <c r="P117" s="685">
        <f t="shared" si="14"/>
        <v>0</v>
      </c>
    </row>
    <row r="118" spans="2:16">
      <c r="B118" t="str">
        <f t="shared" si="10"/>
        <v/>
      </c>
      <c r="C118" s="678">
        <f>IF(D94="","-",+C117+1)</f>
        <v>2040</v>
      </c>
      <c r="D118" s="679">
        <f>IF(F117+SUM(E$100:E117)=D$93,F117,D$93-SUM(E$100:E117))</f>
        <v>1217168.054365078</v>
      </c>
      <c r="E118" s="510">
        <f t="shared" si="15"/>
        <v>317509.90380952379</v>
      </c>
      <c r="F118" s="681">
        <f t="shared" si="16"/>
        <v>899658.1505555542</v>
      </c>
      <c r="G118" s="681">
        <f t="shared" si="17"/>
        <v>1058413.1024603161</v>
      </c>
      <c r="H118" s="645">
        <f t="shared" si="21"/>
        <v>438972.09372510051</v>
      </c>
      <c r="I118" s="628">
        <f t="shared" si="19"/>
        <v>438972.09372510051</v>
      </c>
      <c r="J118" s="685">
        <f t="shared" si="11"/>
        <v>0</v>
      </c>
      <c r="K118" s="685"/>
      <c r="L118" s="130"/>
      <c r="M118" s="685">
        <f t="shared" si="12"/>
        <v>0</v>
      </c>
      <c r="N118" s="130"/>
      <c r="O118" s="685">
        <f t="shared" si="13"/>
        <v>0</v>
      </c>
      <c r="P118" s="685">
        <f t="shared" si="14"/>
        <v>0</v>
      </c>
    </row>
    <row r="119" spans="2:16">
      <c r="B119" t="str">
        <f t="shared" si="10"/>
        <v/>
      </c>
      <c r="C119" s="678">
        <f>IF(D94="","-",+C118+1)</f>
        <v>2041</v>
      </c>
      <c r="D119" s="679">
        <f>IF(F118+SUM(E$100:E118)=D$93,F118,D$93-SUM(E$100:E118))</f>
        <v>899658.1505555542</v>
      </c>
      <c r="E119" s="510">
        <f t="shared" si="15"/>
        <v>317509.90380952379</v>
      </c>
      <c r="F119" s="681">
        <f t="shared" si="16"/>
        <v>582148.2467460304</v>
      </c>
      <c r="G119" s="681">
        <f t="shared" si="17"/>
        <v>740903.19865079224</v>
      </c>
      <c r="H119" s="645">
        <f t="shared" si="21"/>
        <v>402535.04646355181</v>
      </c>
      <c r="I119" s="628">
        <f t="shared" si="19"/>
        <v>402535.04646355181</v>
      </c>
      <c r="J119" s="685">
        <f t="shared" si="11"/>
        <v>0</v>
      </c>
      <c r="K119" s="685"/>
      <c r="L119" s="130"/>
      <c r="M119" s="685">
        <f t="shared" si="12"/>
        <v>0</v>
      </c>
      <c r="N119" s="130"/>
      <c r="O119" s="685">
        <f t="shared" si="13"/>
        <v>0</v>
      </c>
      <c r="P119" s="685">
        <f t="shared" si="14"/>
        <v>0</v>
      </c>
    </row>
    <row r="120" spans="2:16">
      <c r="B120" t="str">
        <f t="shared" si="10"/>
        <v/>
      </c>
      <c r="C120" s="678">
        <f>IF(D94="","-",+C119+1)</f>
        <v>2042</v>
      </c>
      <c r="D120" s="679">
        <f>IF(F119+SUM(E$100:E119)=D$93,F119,D$93-SUM(E$100:E119))</f>
        <v>582148.2467460304</v>
      </c>
      <c r="E120" s="510">
        <f t="shared" si="15"/>
        <v>317509.90380952379</v>
      </c>
      <c r="F120" s="681">
        <f t="shared" si="16"/>
        <v>264638.34293650661</v>
      </c>
      <c r="G120" s="681">
        <f t="shared" si="17"/>
        <v>423393.29484126851</v>
      </c>
      <c r="H120" s="645">
        <f t="shared" si="21"/>
        <v>366097.99920200318</v>
      </c>
      <c r="I120" s="628">
        <f t="shared" si="19"/>
        <v>366097.99920200318</v>
      </c>
      <c r="J120" s="685">
        <f t="shared" si="11"/>
        <v>0</v>
      </c>
      <c r="K120" s="685"/>
      <c r="L120" s="130"/>
      <c r="M120" s="685">
        <f t="shared" si="12"/>
        <v>0</v>
      </c>
      <c r="N120" s="130"/>
      <c r="O120" s="685">
        <f t="shared" si="13"/>
        <v>0</v>
      </c>
      <c r="P120" s="685">
        <f t="shared" si="14"/>
        <v>0</v>
      </c>
    </row>
    <row r="121" spans="2:16">
      <c r="B121" t="str">
        <f t="shared" si="10"/>
        <v/>
      </c>
      <c r="C121" s="678">
        <f>IF(D94="","-",+C120+1)</f>
        <v>2043</v>
      </c>
      <c r="D121" s="679">
        <f>IF(F120+SUM(E$100:E120)=D$93,F120,D$93-SUM(E$100:E120))</f>
        <v>264638.34293650661</v>
      </c>
      <c r="E121" s="510">
        <f t="shared" si="15"/>
        <v>264638.34293650661</v>
      </c>
      <c r="F121" s="681">
        <f t="shared" si="16"/>
        <v>0</v>
      </c>
      <c r="G121" s="681">
        <f t="shared" si="17"/>
        <v>132319.17146825331</v>
      </c>
      <c r="H121" s="645">
        <f t="shared" si="21"/>
        <v>279823.12881735916</v>
      </c>
      <c r="I121" s="628">
        <f t="shared" si="19"/>
        <v>279823.12881735916</v>
      </c>
      <c r="J121" s="685">
        <f t="shared" si="11"/>
        <v>0</v>
      </c>
      <c r="K121" s="685"/>
      <c r="L121" s="130"/>
      <c r="M121" s="685">
        <f t="shared" si="12"/>
        <v>0</v>
      </c>
      <c r="N121" s="130"/>
      <c r="O121" s="685">
        <f t="shared" si="13"/>
        <v>0</v>
      </c>
      <c r="P121" s="685">
        <f t="shared" si="14"/>
        <v>0</v>
      </c>
    </row>
    <row r="122" spans="2:16">
      <c r="B122" t="str">
        <f t="shared" si="10"/>
        <v/>
      </c>
      <c r="C122" s="678">
        <f>IF(D94="","-",+C121+1)</f>
        <v>2044</v>
      </c>
      <c r="D122" s="679">
        <f>IF(F121+SUM(E$100:E121)=D$93,F121,D$93-SUM(E$100:E121))</f>
        <v>0</v>
      </c>
      <c r="E122" s="510">
        <f t="shared" si="15"/>
        <v>0</v>
      </c>
      <c r="F122" s="681">
        <f t="shared" si="16"/>
        <v>0</v>
      </c>
      <c r="G122" s="681">
        <f t="shared" si="17"/>
        <v>0</v>
      </c>
      <c r="H122" s="645">
        <f t="shared" si="21"/>
        <v>0</v>
      </c>
      <c r="I122" s="628">
        <f t="shared" si="19"/>
        <v>0</v>
      </c>
      <c r="J122" s="685">
        <f t="shared" si="11"/>
        <v>0</v>
      </c>
      <c r="K122" s="685"/>
      <c r="L122" s="130"/>
      <c r="M122" s="685">
        <f t="shared" si="12"/>
        <v>0</v>
      </c>
      <c r="N122" s="130"/>
      <c r="O122" s="685">
        <f t="shared" si="13"/>
        <v>0</v>
      </c>
      <c r="P122" s="685">
        <f t="shared" si="14"/>
        <v>0</v>
      </c>
    </row>
    <row r="123" spans="2:16">
      <c r="B123" t="str">
        <f t="shared" si="10"/>
        <v/>
      </c>
      <c r="C123" s="678">
        <f>IF(D94="","-",+C122+1)</f>
        <v>2045</v>
      </c>
      <c r="D123" s="679">
        <f>IF(F122+SUM(E$100:E122)=D$93,F122,D$93-SUM(E$100:E122))</f>
        <v>0</v>
      </c>
      <c r="E123" s="510">
        <f t="shared" si="15"/>
        <v>0</v>
      </c>
      <c r="F123" s="681">
        <f t="shared" si="16"/>
        <v>0</v>
      </c>
      <c r="G123" s="681">
        <f t="shared" si="17"/>
        <v>0</v>
      </c>
      <c r="H123" s="645">
        <f t="shared" si="21"/>
        <v>0</v>
      </c>
      <c r="I123" s="628">
        <f t="shared" si="19"/>
        <v>0</v>
      </c>
      <c r="J123" s="685">
        <f t="shared" si="11"/>
        <v>0</v>
      </c>
      <c r="K123" s="685"/>
      <c r="L123" s="130"/>
      <c r="M123" s="685">
        <f t="shared" si="12"/>
        <v>0</v>
      </c>
      <c r="N123" s="130"/>
      <c r="O123" s="685">
        <f t="shared" si="13"/>
        <v>0</v>
      </c>
      <c r="P123" s="685">
        <f t="shared" si="14"/>
        <v>0</v>
      </c>
    </row>
    <row r="124" spans="2:16">
      <c r="B124" t="str">
        <f t="shared" si="10"/>
        <v/>
      </c>
      <c r="C124" s="678">
        <f>IF(D94="","-",+C123+1)</f>
        <v>2046</v>
      </c>
      <c r="D124" s="679">
        <f>IF(F123+SUM(E$100:E123)=D$93,F123,D$93-SUM(E$100:E123))</f>
        <v>0</v>
      </c>
      <c r="E124" s="510">
        <f t="shared" si="15"/>
        <v>0</v>
      </c>
      <c r="F124" s="681">
        <f t="shared" si="16"/>
        <v>0</v>
      </c>
      <c r="G124" s="681">
        <f t="shared" si="17"/>
        <v>0</v>
      </c>
      <c r="H124" s="645">
        <f t="shared" si="21"/>
        <v>0</v>
      </c>
      <c r="I124" s="628">
        <f t="shared" si="19"/>
        <v>0</v>
      </c>
      <c r="J124" s="685">
        <f t="shared" si="11"/>
        <v>0</v>
      </c>
      <c r="K124" s="685"/>
      <c r="L124" s="130"/>
      <c r="M124" s="685">
        <f t="shared" si="12"/>
        <v>0</v>
      </c>
      <c r="N124" s="130"/>
      <c r="O124" s="685">
        <f t="shared" si="13"/>
        <v>0</v>
      </c>
      <c r="P124" s="685">
        <f t="shared" si="14"/>
        <v>0</v>
      </c>
    </row>
    <row r="125" spans="2:16">
      <c r="B125" t="str">
        <f t="shared" si="10"/>
        <v/>
      </c>
      <c r="C125" s="678">
        <f>IF(D94="","-",+C124+1)</f>
        <v>2047</v>
      </c>
      <c r="D125" s="679">
        <f>IF(F124+SUM(E$100:E124)=D$93,F124,D$93-SUM(E$100:E124))</f>
        <v>0</v>
      </c>
      <c r="E125" s="510">
        <f t="shared" si="15"/>
        <v>0</v>
      </c>
      <c r="F125" s="681">
        <f t="shared" si="16"/>
        <v>0</v>
      </c>
      <c r="G125" s="681">
        <f t="shared" si="17"/>
        <v>0</v>
      </c>
      <c r="H125" s="645">
        <f t="shared" si="21"/>
        <v>0</v>
      </c>
      <c r="I125" s="628">
        <f t="shared" si="19"/>
        <v>0</v>
      </c>
      <c r="J125" s="685">
        <f t="shared" si="11"/>
        <v>0</v>
      </c>
      <c r="K125" s="685"/>
      <c r="L125" s="130"/>
      <c r="M125" s="685">
        <f t="shared" si="12"/>
        <v>0</v>
      </c>
      <c r="N125" s="130"/>
      <c r="O125" s="685">
        <f t="shared" si="13"/>
        <v>0</v>
      </c>
      <c r="P125" s="685">
        <f t="shared" si="14"/>
        <v>0</v>
      </c>
    </row>
    <row r="126" spans="2:16">
      <c r="B126" t="str">
        <f t="shared" si="10"/>
        <v/>
      </c>
      <c r="C126" s="678">
        <f>IF(D94="","-",+C125+1)</f>
        <v>2048</v>
      </c>
      <c r="D126" s="679">
        <f>IF(F125+SUM(E$100:E125)=D$93,F125,D$93-SUM(E$100:E125))</f>
        <v>0</v>
      </c>
      <c r="E126" s="510">
        <f t="shared" si="15"/>
        <v>0</v>
      </c>
      <c r="F126" s="681">
        <f t="shared" si="16"/>
        <v>0</v>
      </c>
      <c r="G126" s="681">
        <f t="shared" si="17"/>
        <v>0</v>
      </c>
      <c r="H126" s="645">
        <f t="shared" si="21"/>
        <v>0</v>
      </c>
      <c r="I126" s="628">
        <f t="shared" si="19"/>
        <v>0</v>
      </c>
      <c r="J126" s="685">
        <f t="shared" si="11"/>
        <v>0</v>
      </c>
      <c r="K126" s="685"/>
      <c r="L126" s="130"/>
      <c r="M126" s="685">
        <f t="shared" si="12"/>
        <v>0</v>
      </c>
      <c r="N126" s="130"/>
      <c r="O126" s="685">
        <f t="shared" si="13"/>
        <v>0</v>
      </c>
      <c r="P126" s="685">
        <f t="shared" si="14"/>
        <v>0</v>
      </c>
    </row>
    <row r="127" spans="2:16">
      <c r="B127" t="str">
        <f t="shared" si="10"/>
        <v/>
      </c>
      <c r="C127" s="678">
        <f>IF(D94="","-",+C126+1)</f>
        <v>2049</v>
      </c>
      <c r="D127" s="679">
        <f>IF(F126+SUM(E$100:E126)=D$93,F126,D$93-SUM(E$100:E126))</f>
        <v>0</v>
      </c>
      <c r="E127" s="510">
        <f t="shared" si="15"/>
        <v>0</v>
      </c>
      <c r="F127" s="681">
        <f t="shared" si="16"/>
        <v>0</v>
      </c>
      <c r="G127" s="681">
        <f t="shared" si="17"/>
        <v>0</v>
      </c>
      <c r="H127" s="645">
        <f t="shared" si="21"/>
        <v>0</v>
      </c>
      <c r="I127" s="628">
        <f t="shared" si="19"/>
        <v>0</v>
      </c>
      <c r="J127" s="685">
        <f t="shared" si="11"/>
        <v>0</v>
      </c>
      <c r="K127" s="685"/>
      <c r="L127" s="130"/>
      <c r="M127" s="685">
        <f t="shared" si="12"/>
        <v>0</v>
      </c>
      <c r="N127" s="130"/>
      <c r="O127" s="685">
        <f t="shared" si="13"/>
        <v>0</v>
      </c>
      <c r="P127" s="685">
        <f t="shared" si="14"/>
        <v>0</v>
      </c>
    </row>
    <row r="128" spans="2:16">
      <c r="B128" t="str">
        <f t="shared" si="10"/>
        <v/>
      </c>
      <c r="C128" s="678">
        <f>IF(D94="","-",+C127+1)</f>
        <v>2050</v>
      </c>
      <c r="D128" s="679">
        <f>IF(F127+SUM(E$100:E127)=D$93,F127,D$93-SUM(E$100:E127))</f>
        <v>0</v>
      </c>
      <c r="E128" s="510">
        <f t="shared" si="15"/>
        <v>0</v>
      </c>
      <c r="F128" s="681">
        <f t="shared" si="16"/>
        <v>0</v>
      </c>
      <c r="G128" s="681">
        <f t="shared" si="17"/>
        <v>0</v>
      </c>
      <c r="H128" s="645">
        <f t="shared" si="21"/>
        <v>0</v>
      </c>
      <c r="I128" s="628">
        <f t="shared" si="19"/>
        <v>0</v>
      </c>
      <c r="J128" s="685">
        <f t="shared" si="11"/>
        <v>0</v>
      </c>
      <c r="K128" s="685"/>
      <c r="L128" s="130"/>
      <c r="M128" s="685">
        <f t="shared" si="12"/>
        <v>0</v>
      </c>
      <c r="N128" s="130"/>
      <c r="O128" s="685">
        <f t="shared" si="13"/>
        <v>0</v>
      </c>
      <c r="P128" s="685">
        <f t="shared" si="14"/>
        <v>0</v>
      </c>
    </row>
    <row r="129" spans="2:16">
      <c r="B129" t="str">
        <f t="shared" si="10"/>
        <v/>
      </c>
      <c r="C129" s="678">
        <f>IF(D94="","-",+C128+1)</f>
        <v>2051</v>
      </c>
      <c r="D129" s="679">
        <f>IF(F128+SUM(E$100:E128)=D$93,F128,D$93-SUM(E$100:E128))</f>
        <v>0</v>
      </c>
      <c r="E129" s="510">
        <f t="shared" si="15"/>
        <v>0</v>
      </c>
      <c r="F129" s="681">
        <f t="shared" si="16"/>
        <v>0</v>
      </c>
      <c r="G129" s="681">
        <f t="shared" si="17"/>
        <v>0</v>
      </c>
      <c r="H129" s="645">
        <f t="shared" si="21"/>
        <v>0</v>
      </c>
      <c r="I129" s="628">
        <f t="shared" si="19"/>
        <v>0</v>
      </c>
      <c r="J129" s="685">
        <f t="shared" si="11"/>
        <v>0</v>
      </c>
      <c r="K129" s="685"/>
      <c r="L129" s="130"/>
      <c r="M129" s="685">
        <f t="shared" si="12"/>
        <v>0</v>
      </c>
      <c r="N129" s="130"/>
      <c r="O129" s="685">
        <f t="shared" si="13"/>
        <v>0</v>
      </c>
      <c r="P129" s="685">
        <f t="shared" si="14"/>
        <v>0</v>
      </c>
    </row>
    <row r="130" spans="2:16">
      <c r="B130" t="str">
        <f t="shared" si="10"/>
        <v/>
      </c>
      <c r="C130" s="678">
        <f>IF(D94="","-",+C129+1)</f>
        <v>2052</v>
      </c>
      <c r="D130" s="679">
        <f>IF(F129+SUM(E$100:E129)=D$93,F129,D$93-SUM(E$100:E129))</f>
        <v>0</v>
      </c>
      <c r="E130" s="510">
        <f t="shared" si="15"/>
        <v>0</v>
      </c>
      <c r="F130" s="681">
        <f t="shared" si="16"/>
        <v>0</v>
      </c>
      <c r="G130" s="681">
        <f t="shared" si="17"/>
        <v>0</v>
      </c>
      <c r="H130" s="645">
        <f t="shared" si="21"/>
        <v>0</v>
      </c>
      <c r="I130" s="628">
        <f t="shared" si="19"/>
        <v>0</v>
      </c>
      <c r="J130" s="685">
        <f t="shared" si="11"/>
        <v>0</v>
      </c>
      <c r="K130" s="685"/>
      <c r="L130" s="130"/>
      <c r="M130" s="685">
        <f t="shared" si="12"/>
        <v>0</v>
      </c>
      <c r="N130" s="130"/>
      <c r="O130" s="685">
        <f t="shared" si="13"/>
        <v>0</v>
      </c>
      <c r="P130" s="685">
        <f t="shared" si="14"/>
        <v>0</v>
      </c>
    </row>
    <row r="131" spans="2:16">
      <c r="B131" t="str">
        <f t="shared" si="10"/>
        <v/>
      </c>
      <c r="C131" s="678">
        <f>IF(D94="","-",+C130+1)</f>
        <v>2053</v>
      </c>
      <c r="D131" s="679">
        <f>IF(F130+SUM(E$100:E130)=D$93,F130,D$93-SUM(E$100:E130))</f>
        <v>0</v>
      </c>
      <c r="E131" s="510">
        <f t="shared" si="15"/>
        <v>0</v>
      </c>
      <c r="F131" s="681">
        <f t="shared" si="16"/>
        <v>0</v>
      </c>
      <c r="G131" s="681">
        <f t="shared" si="17"/>
        <v>0</v>
      </c>
      <c r="H131" s="645">
        <f t="shared" si="21"/>
        <v>0</v>
      </c>
      <c r="I131" s="628">
        <f t="shared" si="19"/>
        <v>0</v>
      </c>
      <c r="J131" s="685">
        <f t="shared" si="11"/>
        <v>0</v>
      </c>
      <c r="K131" s="685"/>
      <c r="L131" s="130"/>
      <c r="M131" s="685">
        <f t="shared" si="12"/>
        <v>0</v>
      </c>
      <c r="N131" s="130"/>
      <c r="O131" s="685">
        <f t="shared" si="13"/>
        <v>0</v>
      </c>
      <c r="P131" s="685">
        <f t="shared" si="14"/>
        <v>0</v>
      </c>
    </row>
    <row r="132" spans="2:16">
      <c r="B132" t="str">
        <f t="shared" si="10"/>
        <v/>
      </c>
      <c r="C132" s="678">
        <f>IF(D94="","-",+C131+1)</f>
        <v>2054</v>
      </c>
      <c r="D132" s="679">
        <f>IF(F131+SUM(E$100:E131)=D$93,F131,D$93-SUM(E$100:E131))</f>
        <v>0</v>
      </c>
      <c r="E132" s="510">
        <f t="shared" si="15"/>
        <v>0</v>
      </c>
      <c r="F132" s="681">
        <f t="shared" si="16"/>
        <v>0</v>
      </c>
      <c r="G132" s="681">
        <f t="shared" si="17"/>
        <v>0</v>
      </c>
      <c r="H132" s="645">
        <f t="shared" si="21"/>
        <v>0</v>
      </c>
      <c r="I132" s="628">
        <f t="shared" si="19"/>
        <v>0</v>
      </c>
      <c r="J132" s="685">
        <f t="shared" ref="J132:J155" si="22">+I542-H542</f>
        <v>0</v>
      </c>
      <c r="K132" s="685"/>
      <c r="L132" s="130"/>
      <c r="M132" s="685">
        <f t="shared" ref="M132:M155" si="23">IF(L542&lt;&gt;0,+H542-L542,0)</f>
        <v>0</v>
      </c>
      <c r="N132" s="130"/>
      <c r="O132" s="685">
        <f t="shared" ref="O132:O155" si="24">IF(N542&lt;&gt;0,+I542-N542,0)</f>
        <v>0</v>
      </c>
      <c r="P132" s="685">
        <f t="shared" ref="P132:P155" si="25">+O542-M542</f>
        <v>0</v>
      </c>
    </row>
    <row r="133" spans="2:16">
      <c r="B133" t="str">
        <f t="shared" si="10"/>
        <v/>
      </c>
      <c r="C133" s="678">
        <f>IF(D94="","-",+C132+1)</f>
        <v>2055</v>
      </c>
      <c r="D133" s="679">
        <f>IF(F132+SUM(E$100:E132)=D$93,F132,D$93-SUM(E$100:E132))</f>
        <v>0</v>
      </c>
      <c r="E133" s="510">
        <f t="shared" si="15"/>
        <v>0</v>
      </c>
      <c r="F133" s="681">
        <f t="shared" si="16"/>
        <v>0</v>
      </c>
      <c r="G133" s="681">
        <f t="shared" si="17"/>
        <v>0</v>
      </c>
      <c r="H133" s="645">
        <f t="shared" si="21"/>
        <v>0</v>
      </c>
      <c r="I133" s="628">
        <f t="shared" si="19"/>
        <v>0</v>
      </c>
      <c r="J133" s="685">
        <f t="shared" si="22"/>
        <v>0</v>
      </c>
      <c r="K133" s="685"/>
      <c r="L133" s="130"/>
      <c r="M133" s="685">
        <f t="shared" si="23"/>
        <v>0</v>
      </c>
      <c r="N133" s="130"/>
      <c r="O133" s="685">
        <f t="shared" si="24"/>
        <v>0</v>
      </c>
      <c r="P133" s="685">
        <f t="shared" si="25"/>
        <v>0</v>
      </c>
    </row>
    <row r="134" spans="2:16">
      <c r="B134" t="str">
        <f t="shared" si="10"/>
        <v/>
      </c>
      <c r="C134" s="678">
        <f>IF(D94="","-",+C133+1)</f>
        <v>2056</v>
      </c>
      <c r="D134" s="679">
        <f>IF(F133+SUM(E$100:E133)=D$93,F133,D$93-SUM(E$100:E133))</f>
        <v>0</v>
      </c>
      <c r="E134" s="510">
        <f t="shared" si="15"/>
        <v>0</v>
      </c>
      <c r="F134" s="681">
        <f t="shared" si="16"/>
        <v>0</v>
      </c>
      <c r="G134" s="681">
        <f t="shared" si="17"/>
        <v>0</v>
      </c>
      <c r="H134" s="645">
        <f t="shared" si="21"/>
        <v>0</v>
      </c>
      <c r="I134" s="628">
        <f t="shared" si="19"/>
        <v>0</v>
      </c>
      <c r="J134" s="685">
        <f t="shared" si="22"/>
        <v>0</v>
      </c>
      <c r="K134" s="685"/>
      <c r="L134" s="130"/>
      <c r="M134" s="685">
        <f t="shared" si="23"/>
        <v>0</v>
      </c>
      <c r="N134" s="130"/>
      <c r="O134" s="685">
        <f t="shared" si="24"/>
        <v>0</v>
      </c>
      <c r="P134" s="685">
        <f t="shared" si="25"/>
        <v>0</v>
      </c>
    </row>
    <row r="135" spans="2:16">
      <c r="B135" t="str">
        <f t="shared" si="10"/>
        <v/>
      </c>
      <c r="C135" s="678">
        <f>IF(D94="","-",+C134+1)</f>
        <v>2057</v>
      </c>
      <c r="D135" s="679">
        <f>IF(F134+SUM(E$100:E134)=D$93,F134,D$93-SUM(E$100:E134))</f>
        <v>0</v>
      </c>
      <c r="E135" s="510">
        <f t="shared" si="15"/>
        <v>0</v>
      </c>
      <c r="F135" s="681">
        <f t="shared" si="16"/>
        <v>0</v>
      </c>
      <c r="G135" s="681">
        <f t="shared" si="17"/>
        <v>0</v>
      </c>
      <c r="H135" s="645">
        <f t="shared" si="21"/>
        <v>0</v>
      </c>
      <c r="I135" s="628">
        <f t="shared" si="19"/>
        <v>0</v>
      </c>
      <c r="J135" s="685">
        <f t="shared" si="22"/>
        <v>0</v>
      </c>
      <c r="K135" s="685"/>
      <c r="L135" s="130"/>
      <c r="M135" s="685">
        <f t="shared" si="23"/>
        <v>0</v>
      </c>
      <c r="N135" s="130"/>
      <c r="O135" s="685">
        <f t="shared" si="24"/>
        <v>0</v>
      </c>
      <c r="P135" s="685">
        <f t="shared" si="25"/>
        <v>0</v>
      </c>
    </row>
    <row r="136" spans="2:16">
      <c r="B136" t="str">
        <f t="shared" si="10"/>
        <v/>
      </c>
      <c r="C136" s="678">
        <f>IF(D94="","-",+C135+1)</f>
        <v>2058</v>
      </c>
      <c r="D136" s="679">
        <f>IF(F135+SUM(E$100:E135)=D$93,F135,D$93-SUM(E$100:E135))</f>
        <v>0</v>
      </c>
      <c r="E136" s="510">
        <f t="shared" si="15"/>
        <v>0</v>
      </c>
      <c r="F136" s="681">
        <f t="shared" si="16"/>
        <v>0</v>
      </c>
      <c r="G136" s="681">
        <f t="shared" si="17"/>
        <v>0</v>
      </c>
      <c r="H136" s="645">
        <f t="shared" si="21"/>
        <v>0</v>
      </c>
      <c r="I136" s="628">
        <f t="shared" si="19"/>
        <v>0</v>
      </c>
      <c r="J136" s="685">
        <f t="shared" si="22"/>
        <v>0</v>
      </c>
      <c r="K136" s="685"/>
      <c r="L136" s="130"/>
      <c r="M136" s="685">
        <f t="shared" si="23"/>
        <v>0</v>
      </c>
      <c r="N136" s="130"/>
      <c r="O136" s="685">
        <f t="shared" si="24"/>
        <v>0</v>
      </c>
      <c r="P136" s="685">
        <f t="shared" si="25"/>
        <v>0</v>
      </c>
    </row>
    <row r="137" spans="2:16">
      <c r="B137" t="str">
        <f t="shared" si="10"/>
        <v/>
      </c>
      <c r="C137" s="678">
        <f>IF(D94="","-",+C136+1)</f>
        <v>2059</v>
      </c>
      <c r="D137" s="679">
        <f>IF(F136+SUM(E$100:E136)=D$93,F136,D$93-SUM(E$100:E136))</f>
        <v>0</v>
      </c>
      <c r="E137" s="510">
        <f t="shared" si="15"/>
        <v>0</v>
      </c>
      <c r="F137" s="681">
        <f t="shared" si="16"/>
        <v>0</v>
      </c>
      <c r="G137" s="681">
        <f t="shared" si="17"/>
        <v>0</v>
      </c>
      <c r="H137" s="645">
        <f t="shared" si="21"/>
        <v>0</v>
      </c>
      <c r="I137" s="628">
        <f t="shared" si="19"/>
        <v>0</v>
      </c>
      <c r="J137" s="685">
        <f t="shared" si="22"/>
        <v>0</v>
      </c>
      <c r="K137" s="685"/>
      <c r="L137" s="130"/>
      <c r="M137" s="685">
        <f t="shared" si="23"/>
        <v>0</v>
      </c>
      <c r="N137" s="130"/>
      <c r="O137" s="685">
        <f t="shared" si="24"/>
        <v>0</v>
      </c>
      <c r="P137" s="685">
        <f t="shared" si="25"/>
        <v>0</v>
      </c>
    </row>
    <row r="138" spans="2:16">
      <c r="B138" t="str">
        <f t="shared" si="10"/>
        <v/>
      </c>
      <c r="C138" s="678">
        <f>IF(D94="","-",+C137+1)</f>
        <v>2060</v>
      </c>
      <c r="D138" s="679">
        <f>IF(F137+SUM(E$100:E137)=D$93,F137,D$93-SUM(E$100:E137))</f>
        <v>0</v>
      </c>
      <c r="E138" s="510">
        <f t="shared" si="15"/>
        <v>0</v>
      </c>
      <c r="F138" s="681">
        <f t="shared" si="16"/>
        <v>0</v>
      </c>
      <c r="G138" s="681">
        <f t="shared" si="17"/>
        <v>0</v>
      </c>
      <c r="H138" s="645">
        <f t="shared" si="21"/>
        <v>0</v>
      </c>
      <c r="I138" s="628">
        <f t="shared" si="19"/>
        <v>0</v>
      </c>
      <c r="J138" s="685">
        <f t="shared" si="22"/>
        <v>0</v>
      </c>
      <c r="K138" s="685"/>
      <c r="L138" s="130"/>
      <c r="M138" s="685">
        <f t="shared" si="23"/>
        <v>0</v>
      </c>
      <c r="N138" s="130"/>
      <c r="O138" s="685">
        <f t="shared" si="24"/>
        <v>0</v>
      </c>
      <c r="P138" s="685">
        <f t="shared" si="25"/>
        <v>0</v>
      </c>
    </row>
    <row r="139" spans="2:16">
      <c r="B139" t="str">
        <f t="shared" si="10"/>
        <v/>
      </c>
      <c r="C139" s="678">
        <f>IF(D94="","-",+C138+1)</f>
        <v>2061</v>
      </c>
      <c r="D139" s="679">
        <f>IF(F138+SUM(E$100:E138)=D$93,F138,D$93-SUM(E$100:E138))</f>
        <v>0</v>
      </c>
      <c r="E139" s="510">
        <f t="shared" si="15"/>
        <v>0</v>
      </c>
      <c r="F139" s="681">
        <f t="shared" si="16"/>
        <v>0</v>
      </c>
      <c r="G139" s="681">
        <f t="shared" si="17"/>
        <v>0</v>
      </c>
      <c r="H139" s="645">
        <f t="shared" si="21"/>
        <v>0</v>
      </c>
      <c r="I139" s="628">
        <f t="shared" si="19"/>
        <v>0</v>
      </c>
      <c r="J139" s="685">
        <f t="shared" si="22"/>
        <v>0</v>
      </c>
      <c r="K139" s="685"/>
      <c r="L139" s="130"/>
      <c r="M139" s="685">
        <f t="shared" si="23"/>
        <v>0</v>
      </c>
      <c r="N139" s="130"/>
      <c r="O139" s="685">
        <f t="shared" si="24"/>
        <v>0</v>
      </c>
      <c r="P139" s="685">
        <f t="shared" si="25"/>
        <v>0</v>
      </c>
    </row>
    <row r="140" spans="2:16">
      <c r="B140" t="str">
        <f t="shared" si="10"/>
        <v/>
      </c>
      <c r="C140" s="678">
        <f>IF(D94="","-",+C139+1)</f>
        <v>2062</v>
      </c>
      <c r="D140" s="679">
        <f>IF(F139+SUM(E$100:E139)=D$93,F139,D$93-SUM(E$100:E139))</f>
        <v>0</v>
      </c>
      <c r="E140" s="510">
        <f t="shared" si="15"/>
        <v>0</v>
      </c>
      <c r="F140" s="681">
        <f t="shared" si="16"/>
        <v>0</v>
      </c>
      <c r="G140" s="681">
        <f t="shared" si="17"/>
        <v>0</v>
      </c>
      <c r="H140" s="645">
        <f t="shared" si="21"/>
        <v>0</v>
      </c>
      <c r="I140" s="628">
        <f t="shared" si="19"/>
        <v>0</v>
      </c>
      <c r="J140" s="685">
        <f t="shared" si="22"/>
        <v>0</v>
      </c>
      <c r="K140" s="685"/>
      <c r="L140" s="130"/>
      <c r="M140" s="685">
        <f t="shared" si="23"/>
        <v>0</v>
      </c>
      <c r="N140" s="130"/>
      <c r="O140" s="685">
        <f t="shared" si="24"/>
        <v>0</v>
      </c>
      <c r="P140" s="685">
        <f t="shared" si="25"/>
        <v>0</v>
      </c>
    </row>
    <row r="141" spans="2:16">
      <c r="B141" t="str">
        <f t="shared" si="10"/>
        <v/>
      </c>
      <c r="C141" s="678">
        <f>IF(D94="","-",+C140+1)</f>
        <v>2063</v>
      </c>
      <c r="D141" s="679">
        <f>IF(F140+SUM(E$100:E140)=D$93,F140,D$93-SUM(E$100:E140))</f>
        <v>0</v>
      </c>
      <c r="E141" s="510">
        <f t="shared" si="15"/>
        <v>0</v>
      </c>
      <c r="F141" s="681">
        <f t="shared" si="16"/>
        <v>0</v>
      </c>
      <c r="G141" s="681">
        <f t="shared" si="17"/>
        <v>0</v>
      </c>
      <c r="H141" s="645">
        <f t="shared" si="21"/>
        <v>0</v>
      </c>
      <c r="I141" s="628">
        <f t="shared" si="19"/>
        <v>0</v>
      </c>
      <c r="J141" s="685">
        <f t="shared" si="22"/>
        <v>0</v>
      </c>
      <c r="K141" s="685"/>
      <c r="L141" s="130"/>
      <c r="M141" s="685">
        <f t="shared" si="23"/>
        <v>0</v>
      </c>
      <c r="N141" s="130"/>
      <c r="O141" s="685">
        <f t="shared" si="24"/>
        <v>0</v>
      </c>
      <c r="P141" s="685">
        <f t="shared" si="25"/>
        <v>0</v>
      </c>
    </row>
    <row r="142" spans="2:16">
      <c r="B142" t="str">
        <f t="shared" si="10"/>
        <v/>
      </c>
      <c r="C142" s="678">
        <f>IF(D94="","-",+C141+1)</f>
        <v>2064</v>
      </c>
      <c r="D142" s="679">
        <f>IF(F141+SUM(E$100:E141)=D$93,F141,D$93-SUM(E$100:E141))</f>
        <v>0</v>
      </c>
      <c r="E142" s="510">
        <f t="shared" si="15"/>
        <v>0</v>
      </c>
      <c r="F142" s="681">
        <f t="shared" si="16"/>
        <v>0</v>
      </c>
      <c r="G142" s="681">
        <f t="shared" si="17"/>
        <v>0</v>
      </c>
      <c r="H142" s="645">
        <f t="shared" si="21"/>
        <v>0</v>
      </c>
      <c r="I142" s="628">
        <f t="shared" si="19"/>
        <v>0</v>
      </c>
      <c r="J142" s="685">
        <f t="shared" si="22"/>
        <v>0</v>
      </c>
      <c r="K142" s="685"/>
      <c r="L142" s="130"/>
      <c r="M142" s="685">
        <f t="shared" si="23"/>
        <v>0</v>
      </c>
      <c r="N142" s="130"/>
      <c r="O142" s="685">
        <f t="shared" si="24"/>
        <v>0</v>
      </c>
      <c r="P142" s="685">
        <f t="shared" si="25"/>
        <v>0</v>
      </c>
    </row>
    <row r="143" spans="2:16">
      <c r="B143" t="str">
        <f t="shared" si="10"/>
        <v/>
      </c>
      <c r="C143" s="678">
        <f>IF(D94="","-",+C142+1)</f>
        <v>2065</v>
      </c>
      <c r="D143" s="679">
        <f>IF(F142+SUM(E$100:E142)=D$93,F142,D$93-SUM(E$100:E142))</f>
        <v>0</v>
      </c>
      <c r="E143" s="510">
        <f t="shared" si="15"/>
        <v>0</v>
      </c>
      <c r="F143" s="681">
        <f t="shared" si="16"/>
        <v>0</v>
      </c>
      <c r="G143" s="681">
        <f t="shared" si="17"/>
        <v>0</v>
      </c>
      <c r="H143" s="645">
        <f t="shared" si="21"/>
        <v>0</v>
      </c>
      <c r="I143" s="628">
        <f t="shared" si="19"/>
        <v>0</v>
      </c>
      <c r="J143" s="685">
        <f t="shared" si="22"/>
        <v>0</v>
      </c>
      <c r="K143" s="685"/>
      <c r="L143" s="130"/>
      <c r="M143" s="685">
        <f t="shared" si="23"/>
        <v>0</v>
      </c>
      <c r="N143" s="130"/>
      <c r="O143" s="685">
        <f t="shared" si="24"/>
        <v>0</v>
      </c>
      <c r="P143" s="685">
        <f t="shared" si="25"/>
        <v>0</v>
      </c>
    </row>
    <row r="144" spans="2:16">
      <c r="B144" t="str">
        <f t="shared" si="10"/>
        <v/>
      </c>
      <c r="C144" s="678">
        <f>IF(D94="","-",+C143+1)</f>
        <v>2066</v>
      </c>
      <c r="D144" s="679">
        <f>IF(F143+SUM(E$100:E143)=D$93,F143,D$93-SUM(E$100:E143))</f>
        <v>0</v>
      </c>
      <c r="E144" s="510">
        <f t="shared" si="15"/>
        <v>0</v>
      </c>
      <c r="F144" s="681">
        <f t="shared" si="16"/>
        <v>0</v>
      </c>
      <c r="G144" s="681">
        <f t="shared" si="17"/>
        <v>0</v>
      </c>
      <c r="H144" s="645">
        <f t="shared" si="21"/>
        <v>0</v>
      </c>
      <c r="I144" s="628">
        <f t="shared" si="19"/>
        <v>0</v>
      </c>
      <c r="J144" s="685">
        <f t="shared" si="22"/>
        <v>0</v>
      </c>
      <c r="K144" s="685"/>
      <c r="L144" s="130"/>
      <c r="M144" s="685">
        <f t="shared" si="23"/>
        <v>0</v>
      </c>
      <c r="N144" s="130"/>
      <c r="O144" s="685">
        <f t="shared" si="24"/>
        <v>0</v>
      </c>
      <c r="P144" s="685">
        <f t="shared" si="25"/>
        <v>0</v>
      </c>
    </row>
    <row r="145" spans="2:16">
      <c r="B145" t="str">
        <f t="shared" si="10"/>
        <v/>
      </c>
      <c r="C145" s="678">
        <f>IF(D94="","-",+C144+1)</f>
        <v>2067</v>
      </c>
      <c r="D145" s="679">
        <f>IF(F144+SUM(E$100:E144)=D$93,F144,D$93-SUM(E$100:E144))</f>
        <v>0</v>
      </c>
      <c r="E145" s="510">
        <f t="shared" si="15"/>
        <v>0</v>
      </c>
      <c r="F145" s="681">
        <f t="shared" si="16"/>
        <v>0</v>
      </c>
      <c r="G145" s="681">
        <f t="shared" si="17"/>
        <v>0</v>
      </c>
      <c r="H145" s="645">
        <f t="shared" si="21"/>
        <v>0</v>
      </c>
      <c r="I145" s="628">
        <f t="shared" si="19"/>
        <v>0</v>
      </c>
      <c r="J145" s="685">
        <f t="shared" si="22"/>
        <v>0</v>
      </c>
      <c r="K145" s="685"/>
      <c r="L145" s="130"/>
      <c r="M145" s="685">
        <f t="shared" si="23"/>
        <v>0</v>
      </c>
      <c r="N145" s="130"/>
      <c r="O145" s="685">
        <f t="shared" si="24"/>
        <v>0</v>
      </c>
      <c r="P145" s="685">
        <f t="shared" si="25"/>
        <v>0</v>
      </c>
    </row>
    <row r="146" spans="2:16">
      <c r="B146" t="str">
        <f t="shared" si="10"/>
        <v/>
      </c>
      <c r="C146" s="678">
        <f>IF(D94="","-",+C145+1)</f>
        <v>2068</v>
      </c>
      <c r="D146" s="679">
        <f>IF(F145+SUM(E$100:E145)=D$93,F145,D$93-SUM(E$100:E145))</f>
        <v>0</v>
      </c>
      <c r="E146" s="510">
        <f t="shared" si="15"/>
        <v>0</v>
      </c>
      <c r="F146" s="681">
        <f t="shared" si="16"/>
        <v>0</v>
      </c>
      <c r="G146" s="681">
        <f t="shared" si="17"/>
        <v>0</v>
      </c>
      <c r="H146" s="645">
        <f t="shared" si="21"/>
        <v>0</v>
      </c>
      <c r="I146" s="628">
        <f t="shared" si="19"/>
        <v>0</v>
      </c>
      <c r="J146" s="685">
        <f t="shared" si="22"/>
        <v>0</v>
      </c>
      <c r="K146" s="685"/>
      <c r="L146" s="130"/>
      <c r="M146" s="685">
        <f t="shared" si="23"/>
        <v>0</v>
      </c>
      <c r="N146" s="130"/>
      <c r="O146" s="685">
        <f t="shared" si="24"/>
        <v>0</v>
      </c>
      <c r="P146" s="685">
        <f t="shared" si="25"/>
        <v>0</v>
      </c>
    </row>
    <row r="147" spans="2:16">
      <c r="B147" t="str">
        <f t="shared" si="10"/>
        <v/>
      </c>
      <c r="C147" s="678">
        <f>IF(D94="","-",+C146+1)</f>
        <v>2069</v>
      </c>
      <c r="D147" s="679">
        <f>IF(F146+SUM(E$100:E146)=D$93,F146,D$93-SUM(E$100:E146))</f>
        <v>0</v>
      </c>
      <c r="E147" s="510">
        <f t="shared" si="15"/>
        <v>0</v>
      </c>
      <c r="F147" s="681">
        <f t="shared" si="16"/>
        <v>0</v>
      </c>
      <c r="G147" s="681">
        <f t="shared" si="17"/>
        <v>0</v>
      </c>
      <c r="H147" s="645">
        <f t="shared" si="21"/>
        <v>0</v>
      </c>
      <c r="I147" s="628">
        <f t="shared" si="19"/>
        <v>0</v>
      </c>
      <c r="J147" s="685">
        <f t="shared" si="22"/>
        <v>0</v>
      </c>
      <c r="K147" s="685"/>
      <c r="L147" s="130"/>
      <c r="M147" s="685">
        <f t="shared" si="23"/>
        <v>0</v>
      </c>
      <c r="N147" s="130"/>
      <c r="O147" s="685">
        <f t="shared" si="24"/>
        <v>0</v>
      </c>
      <c r="P147" s="685">
        <f t="shared" si="25"/>
        <v>0</v>
      </c>
    </row>
    <row r="148" spans="2:16">
      <c r="B148" t="str">
        <f t="shared" si="10"/>
        <v/>
      </c>
      <c r="C148" s="678">
        <f>IF(D94="","-",+C147+1)</f>
        <v>2070</v>
      </c>
      <c r="D148" s="679">
        <f>IF(F147+SUM(E$100:E147)=D$93,F147,D$93-SUM(E$100:E147))</f>
        <v>0</v>
      </c>
      <c r="E148" s="510">
        <f t="shared" si="15"/>
        <v>0</v>
      </c>
      <c r="F148" s="681">
        <f t="shared" si="16"/>
        <v>0</v>
      </c>
      <c r="G148" s="681">
        <f t="shared" si="17"/>
        <v>0</v>
      </c>
      <c r="H148" s="645">
        <f t="shared" si="21"/>
        <v>0</v>
      </c>
      <c r="I148" s="628">
        <f t="shared" si="19"/>
        <v>0</v>
      </c>
      <c r="J148" s="685">
        <f t="shared" si="22"/>
        <v>0</v>
      </c>
      <c r="K148" s="685"/>
      <c r="L148" s="130"/>
      <c r="M148" s="685">
        <f t="shared" si="23"/>
        <v>0</v>
      </c>
      <c r="N148" s="130"/>
      <c r="O148" s="685">
        <f t="shared" si="24"/>
        <v>0</v>
      </c>
      <c r="P148" s="685">
        <f t="shared" si="25"/>
        <v>0</v>
      </c>
    </row>
    <row r="149" spans="2:16">
      <c r="B149" t="str">
        <f t="shared" si="10"/>
        <v/>
      </c>
      <c r="C149" s="678">
        <f>IF(D94="","-",+C148+1)</f>
        <v>2071</v>
      </c>
      <c r="D149" s="679">
        <f>IF(F148+SUM(E$100:E148)=D$93,F148,D$93-SUM(E$100:E148))</f>
        <v>0</v>
      </c>
      <c r="E149" s="510">
        <f t="shared" si="15"/>
        <v>0</v>
      </c>
      <c r="F149" s="681">
        <f t="shared" si="16"/>
        <v>0</v>
      </c>
      <c r="G149" s="681">
        <f t="shared" si="17"/>
        <v>0</v>
      </c>
      <c r="H149" s="645">
        <f t="shared" si="21"/>
        <v>0</v>
      </c>
      <c r="I149" s="628">
        <f t="shared" si="19"/>
        <v>0</v>
      </c>
      <c r="J149" s="685">
        <f t="shared" si="22"/>
        <v>0</v>
      </c>
      <c r="K149" s="685"/>
      <c r="L149" s="130"/>
      <c r="M149" s="685">
        <f t="shared" si="23"/>
        <v>0</v>
      </c>
      <c r="N149" s="130"/>
      <c r="O149" s="685">
        <f t="shared" si="24"/>
        <v>0</v>
      </c>
      <c r="P149" s="685">
        <f t="shared" si="25"/>
        <v>0</v>
      </c>
    </row>
    <row r="150" spans="2:16">
      <c r="B150" t="str">
        <f t="shared" si="10"/>
        <v/>
      </c>
      <c r="C150" s="678">
        <f>IF(D94="","-",+C149+1)</f>
        <v>2072</v>
      </c>
      <c r="D150" s="679">
        <f>IF(F149+SUM(E$100:E149)=D$93,F149,D$93-SUM(E$100:E149))</f>
        <v>0</v>
      </c>
      <c r="E150" s="510">
        <f t="shared" si="15"/>
        <v>0</v>
      </c>
      <c r="F150" s="681">
        <f t="shared" si="16"/>
        <v>0</v>
      </c>
      <c r="G150" s="681">
        <f t="shared" si="17"/>
        <v>0</v>
      </c>
      <c r="H150" s="645">
        <f t="shared" si="21"/>
        <v>0</v>
      </c>
      <c r="I150" s="628">
        <f t="shared" si="19"/>
        <v>0</v>
      </c>
      <c r="J150" s="685">
        <f t="shared" si="22"/>
        <v>0</v>
      </c>
      <c r="K150" s="685"/>
      <c r="L150" s="130"/>
      <c r="M150" s="685">
        <f t="shared" si="23"/>
        <v>0</v>
      </c>
      <c r="N150" s="130"/>
      <c r="O150" s="685">
        <f t="shared" si="24"/>
        <v>0</v>
      </c>
      <c r="P150" s="685">
        <f t="shared" si="25"/>
        <v>0</v>
      </c>
    </row>
    <row r="151" spans="2:16">
      <c r="B151" t="str">
        <f t="shared" si="10"/>
        <v/>
      </c>
      <c r="C151" s="678">
        <f>IF(D94="","-",+C150+1)</f>
        <v>2073</v>
      </c>
      <c r="D151" s="679">
        <f>IF(F150+SUM(E$100:E150)=D$93,F150,D$93-SUM(E$100:E150))</f>
        <v>0</v>
      </c>
      <c r="E151" s="510">
        <f t="shared" si="15"/>
        <v>0</v>
      </c>
      <c r="F151" s="681">
        <f t="shared" si="16"/>
        <v>0</v>
      </c>
      <c r="G151" s="681">
        <f t="shared" si="17"/>
        <v>0</v>
      </c>
      <c r="H151" s="645">
        <f t="shared" si="21"/>
        <v>0</v>
      </c>
      <c r="I151" s="628">
        <f t="shared" si="19"/>
        <v>0</v>
      </c>
      <c r="J151" s="685">
        <f t="shared" si="22"/>
        <v>0</v>
      </c>
      <c r="K151" s="685"/>
      <c r="L151" s="130"/>
      <c r="M151" s="685">
        <f t="shared" si="23"/>
        <v>0</v>
      </c>
      <c r="N151" s="130"/>
      <c r="O151" s="685">
        <f t="shared" si="24"/>
        <v>0</v>
      </c>
      <c r="P151" s="685">
        <f t="shared" si="25"/>
        <v>0</v>
      </c>
    </row>
    <row r="152" spans="2:16">
      <c r="B152" t="str">
        <f t="shared" si="10"/>
        <v/>
      </c>
      <c r="C152" s="678">
        <f>IF(D94="","-",+C151+1)</f>
        <v>2074</v>
      </c>
      <c r="D152" s="679">
        <f>IF(F151+SUM(E$100:E151)=D$93,F151,D$93-SUM(E$100:E151))</f>
        <v>0</v>
      </c>
      <c r="E152" s="510">
        <f t="shared" si="15"/>
        <v>0</v>
      </c>
      <c r="F152" s="681">
        <f t="shared" si="16"/>
        <v>0</v>
      </c>
      <c r="G152" s="681">
        <f t="shared" si="17"/>
        <v>0</v>
      </c>
      <c r="H152" s="645">
        <f t="shared" si="21"/>
        <v>0</v>
      </c>
      <c r="I152" s="628">
        <f t="shared" si="19"/>
        <v>0</v>
      </c>
      <c r="J152" s="685">
        <f t="shared" si="22"/>
        <v>0</v>
      </c>
      <c r="K152" s="685"/>
      <c r="L152" s="130"/>
      <c r="M152" s="685">
        <f t="shared" si="23"/>
        <v>0</v>
      </c>
      <c r="N152" s="130"/>
      <c r="O152" s="685">
        <f t="shared" si="24"/>
        <v>0</v>
      </c>
      <c r="P152" s="685">
        <f t="shared" si="25"/>
        <v>0</v>
      </c>
    </row>
    <row r="153" spans="2:16">
      <c r="B153" t="str">
        <f t="shared" si="10"/>
        <v/>
      </c>
      <c r="C153" s="678">
        <f>IF(D94="","-",+C152+1)</f>
        <v>2075</v>
      </c>
      <c r="D153" s="679">
        <f>IF(F152+SUM(E$100:E152)=D$93,F152,D$93-SUM(E$100:E152))</f>
        <v>0</v>
      </c>
      <c r="E153" s="510">
        <f t="shared" si="15"/>
        <v>0</v>
      </c>
      <c r="F153" s="681">
        <f t="shared" si="16"/>
        <v>0</v>
      </c>
      <c r="G153" s="681">
        <f t="shared" si="17"/>
        <v>0</v>
      </c>
      <c r="H153" s="645">
        <f t="shared" si="21"/>
        <v>0</v>
      </c>
      <c r="I153" s="628">
        <f t="shared" si="19"/>
        <v>0</v>
      </c>
      <c r="J153" s="685">
        <f t="shared" si="22"/>
        <v>0</v>
      </c>
      <c r="K153" s="685"/>
      <c r="L153" s="130"/>
      <c r="M153" s="685">
        <f t="shared" si="23"/>
        <v>0</v>
      </c>
      <c r="N153" s="130"/>
      <c r="O153" s="685">
        <f t="shared" si="24"/>
        <v>0</v>
      </c>
      <c r="P153" s="685">
        <f t="shared" si="25"/>
        <v>0</v>
      </c>
    </row>
    <row r="154" spans="2:16">
      <c r="B154" t="str">
        <f t="shared" si="10"/>
        <v/>
      </c>
      <c r="C154" s="678">
        <f>IF(D94="","-",+C153+1)</f>
        <v>2076</v>
      </c>
      <c r="D154" s="679">
        <f>IF(F153+SUM(E$100:E153)=D$93,F153,D$93-SUM(E$100:E153))</f>
        <v>0</v>
      </c>
      <c r="E154" s="510">
        <f t="shared" si="15"/>
        <v>0</v>
      </c>
      <c r="F154" s="681">
        <f t="shared" si="16"/>
        <v>0</v>
      </c>
      <c r="G154" s="681">
        <f t="shared" si="17"/>
        <v>0</v>
      </c>
      <c r="H154" s="645">
        <f t="shared" si="21"/>
        <v>0</v>
      </c>
      <c r="I154" s="628">
        <f t="shared" si="19"/>
        <v>0</v>
      </c>
      <c r="J154" s="685">
        <f t="shared" si="22"/>
        <v>0</v>
      </c>
      <c r="K154" s="685"/>
      <c r="L154" s="130"/>
      <c r="M154" s="685">
        <f t="shared" si="23"/>
        <v>0</v>
      </c>
      <c r="N154" s="130"/>
      <c r="O154" s="685">
        <f t="shared" si="24"/>
        <v>0</v>
      </c>
      <c r="P154" s="685">
        <f t="shared" si="25"/>
        <v>0</v>
      </c>
    </row>
    <row r="155" spans="2:16" ht="13" thickBot="1">
      <c r="B155" t="str">
        <f t="shared" si="10"/>
        <v/>
      </c>
      <c r="C155" s="688">
        <f>IF(D94="","-",+C154+1)</f>
        <v>2077</v>
      </c>
      <c r="D155" s="715">
        <f>IF(F154+SUM(E$100:E154)=D$93,F154,D$93-SUM(E$100:E154))</f>
        <v>0</v>
      </c>
      <c r="E155" s="527">
        <f t="shared" si="15"/>
        <v>0</v>
      </c>
      <c r="F155" s="689">
        <f t="shared" si="16"/>
        <v>0</v>
      </c>
      <c r="G155" s="689">
        <f t="shared" si="17"/>
        <v>0</v>
      </c>
      <c r="H155" s="645">
        <f t="shared" si="21"/>
        <v>0</v>
      </c>
      <c r="I155" s="624">
        <f t="shared" si="19"/>
        <v>0</v>
      </c>
      <c r="J155" s="692">
        <f t="shared" si="22"/>
        <v>0</v>
      </c>
      <c r="K155" s="685"/>
      <c r="L155" s="131"/>
      <c r="M155" s="692">
        <f t="shared" si="23"/>
        <v>0</v>
      </c>
      <c r="N155" s="131"/>
      <c r="O155" s="692">
        <f t="shared" si="24"/>
        <v>0</v>
      </c>
      <c r="P155" s="692">
        <f t="shared" si="25"/>
        <v>0</v>
      </c>
    </row>
    <row r="156" spans="2:16">
      <c r="C156" s="679" t="s">
        <v>75</v>
      </c>
      <c r="D156" s="659"/>
      <c r="E156" s="659">
        <f>SUM(E100:E155)</f>
        <v>6667707.9799999995</v>
      </c>
      <c r="F156" s="659"/>
      <c r="G156" s="659"/>
      <c r="H156" s="659">
        <f>SUM(H100:H155)</f>
        <v>14956910.872164896</v>
      </c>
      <c r="I156" s="659">
        <f>SUM(I100:I155)</f>
        <v>14956910.872164896</v>
      </c>
      <c r="J156" s="659">
        <f>SUM(J100:J155)</f>
        <v>0</v>
      </c>
      <c r="K156" s="659"/>
      <c r="L156" s="659"/>
      <c r="M156" s="659"/>
      <c r="N156" s="659"/>
      <c r="O156" s="659"/>
      <c r="P156" s="652"/>
    </row>
    <row r="157" spans="2:16">
      <c r="C157" t="s">
        <v>90</v>
      </c>
      <c r="D157" s="653"/>
      <c r="E157" s="652"/>
      <c r="F157" s="652"/>
      <c r="G157" s="652"/>
      <c r="H157" s="652"/>
      <c r="I157" s="655"/>
      <c r="J157" s="655"/>
      <c r="K157" s="659"/>
      <c r="L157" s="655"/>
      <c r="M157" s="655"/>
      <c r="N157" s="655"/>
      <c r="O157" s="655"/>
      <c r="P157" s="652"/>
    </row>
    <row r="158" spans="2:16">
      <c r="C158" s="100"/>
      <c r="D158" s="653"/>
      <c r="E158" s="652"/>
      <c r="F158" s="652"/>
      <c r="G158" s="652"/>
      <c r="H158" s="652"/>
      <c r="I158" s="655"/>
      <c r="J158" s="655"/>
      <c r="K158" s="659"/>
      <c r="L158" s="655"/>
      <c r="M158" s="655"/>
      <c r="N158" s="655"/>
      <c r="O158" s="655"/>
      <c r="P158" s="652"/>
    </row>
    <row r="159" spans="2:16" ht="13">
      <c r="C159" s="115" t="s">
        <v>130</v>
      </c>
      <c r="D159" s="653"/>
      <c r="E159" s="652"/>
      <c r="F159" s="652"/>
      <c r="G159" s="652"/>
      <c r="H159" s="652"/>
      <c r="I159" s="655"/>
      <c r="J159" s="655"/>
      <c r="K159" s="659"/>
      <c r="L159" s="655"/>
      <c r="M159" s="655"/>
      <c r="N159" s="655"/>
      <c r="O159" s="655"/>
      <c r="P159" s="652"/>
    </row>
    <row r="160" spans="2:16" ht="13">
      <c r="C160" s="662" t="s">
        <v>76</v>
      </c>
      <c r="D160" s="679"/>
      <c r="E160" s="679"/>
      <c r="F160" s="679"/>
      <c r="G160" s="679"/>
      <c r="H160" s="659"/>
      <c r="I160" s="659"/>
      <c r="J160" s="693"/>
      <c r="K160" s="693"/>
      <c r="L160" s="693"/>
      <c r="M160" s="693"/>
      <c r="N160" s="693"/>
      <c r="O160" s="693"/>
      <c r="P160" s="652"/>
    </row>
    <row r="161" spans="3:16" ht="13">
      <c r="C161" s="716" t="s">
        <v>77</v>
      </c>
      <c r="D161" s="679"/>
      <c r="E161" s="679"/>
      <c r="F161" s="679"/>
      <c r="G161" s="679"/>
      <c r="H161" s="659"/>
      <c r="I161" s="659"/>
      <c r="J161" s="693"/>
      <c r="K161" s="693"/>
      <c r="L161" s="693"/>
      <c r="M161" s="693"/>
      <c r="N161" s="693"/>
      <c r="O161" s="693"/>
      <c r="P161" s="652"/>
    </row>
    <row r="162" spans="3:16" ht="13">
      <c r="C162" s="716"/>
      <c r="D162" s="679"/>
      <c r="E162" s="679"/>
      <c r="F162" s="679"/>
      <c r="G162" s="679"/>
      <c r="H162" s="659"/>
      <c r="I162" s="659"/>
      <c r="J162" s="693"/>
      <c r="K162" s="693"/>
      <c r="L162" s="693"/>
      <c r="M162" s="693"/>
      <c r="N162" s="693"/>
      <c r="O162" s="693"/>
      <c r="P162" s="652"/>
    </row>
    <row r="163" spans="3:16" ht="17.5">
      <c r="C163" s="716"/>
      <c r="D163" s="679"/>
      <c r="E163" s="679"/>
      <c r="F163" s="679"/>
      <c r="G163" s="679"/>
      <c r="H163" s="659"/>
      <c r="I163" s="659"/>
      <c r="J163" s="693"/>
      <c r="K163" s="693"/>
      <c r="L163" s="693"/>
      <c r="M163" s="693"/>
      <c r="N163" s="693"/>
      <c r="P163" s="717" t="s">
        <v>129</v>
      </c>
    </row>
  </sheetData>
  <conditionalFormatting sqref="C17:C71 C73">
    <cfRule type="cellIs" dxfId="8" priority="2" stopIfTrue="1" operator="equal">
      <formula>$I$10</formula>
    </cfRule>
  </conditionalFormatting>
  <conditionalFormatting sqref="C100:C155">
    <cfRule type="cellIs" dxfId="7" priority="3" stopIfTrue="1" operator="equal">
      <formula>$J$93</formula>
    </cfRule>
  </conditionalFormatting>
  <conditionalFormatting sqref="C72">
    <cfRule type="cellIs" dxfId="6" priority="1" stopIfTrue="1" operator="equal">
      <formula>$I$10</formula>
    </cfRule>
  </conditionalFormatting>
  <pageMargins left="0.5" right="0.25" top="1" bottom="0.35" header="0.25" footer="0.5"/>
  <pageSetup scale="4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08B91-83A8-4F7C-94C4-0C987CE5112E}">
  <dimension ref="A1:P163"/>
  <sheetViews>
    <sheetView zoomScale="80" zoomScaleNormal="80" workbookViewId="0"/>
  </sheetViews>
  <sheetFormatPr defaultRowHeight="12.5"/>
  <cols>
    <col min="1" max="1" width="4.7265625" customWidth="1"/>
    <col min="2" max="2" width="6.7265625" customWidth="1"/>
    <col min="3" max="3" width="23.26953125" customWidth="1"/>
    <col min="4" max="8" width="17.7265625" customWidth="1"/>
    <col min="9" max="9" width="20.453125" customWidth="1"/>
    <col min="10" max="10" width="16.453125" customWidth="1"/>
    <col min="11" max="11" width="17.7265625" customWidth="1"/>
    <col min="12" max="12" width="16.1796875" customWidth="1"/>
    <col min="13" max="13" width="17.7265625" customWidth="1"/>
    <col min="14" max="14" width="16.7265625" customWidth="1"/>
    <col min="15" max="15" width="16.81640625" customWidth="1"/>
    <col min="16" max="16" width="24.453125" customWidth="1"/>
  </cols>
  <sheetData>
    <row r="1" spans="1:16" ht="20">
      <c r="A1" s="110" t="s">
        <v>189</v>
      </c>
      <c r="B1" s="652"/>
      <c r="C1" s="652"/>
      <c r="D1" s="653"/>
      <c r="E1" s="652"/>
      <c r="F1" s="654"/>
      <c r="G1" s="652"/>
      <c r="H1" s="655"/>
      <c r="K1" s="18"/>
      <c r="L1" s="18"/>
      <c r="M1" s="18"/>
      <c r="P1" s="656" t="s">
        <v>308</v>
      </c>
    </row>
    <row r="2" spans="1:16" ht="17.5">
      <c r="B2" s="652"/>
      <c r="C2" s="652"/>
      <c r="D2" s="653"/>
      <c r="E2" s="652"/>
      <c r="F2" s="652"/>
      <c r="G2" s="652"/>
      <c r="H2" s="655"/>
      <c r="I2" s="652"/>
      <c r="J2" s="652"/>
      <c r="K2" s="652"/>
      <c r="L2" s="652"/>
      <c r="M2" s="652"/>
      <c r="N2" s="652"/>
      <c r="P2" s="117" t="s">
        <v>131</v>
      </c>
    </row>
    <row r="3" spans="1:16" ht="18">
      <c r="B3" s="657" t="s">
        <v>42</v>
      </c>
      <c r="C3" s="658" t="s">
        <v>43</v>
      </c>
      <c r="D3" s="653"/>
      <c r="E3" s="652"/>
      <c r="F3" s="652"/>
      <c r="G3" s="652"/>
      <c r="H3" s="655"/>
      <c r="I3" s="655"/>
      <c r="J3" s="659"/>
      <c r="K3" s="655"/>
      <c r="L3" s="655"/>
      <c r="M3" s="655"/>
      <c r="N3" s="655"/>
      <c r="O3" s="652"/>
      <c r="P3" s="108">
        <v>1</v>
      </c>
    </row>
    <row r="4" spans="1:16" ht="16" thickBot="1">
      <c r="C4" s="660"/>
      <c r="D4" s="653"/>
      <c r="E4" s="652"/>
      <c r="F4" s="652"/>
      <c r="G4" s="652"/>
      <c r="H4" s="655"/>
      <c r="I4" s="655"/>
      <c r="J4" s="659"/>
      <c r="K4" s="655"/>
      <c r="L4" s="655"/>
      <c r="M4" s="655"/>
      <c r="N4" s="655"/>
      <c r="O4" s="652"/>
      <c r="P4" s="652"/>
    </row>
    <row r="5" spans="1:16" ht="15.5">
      <c r="C5" s="20" t="s">
        <v>44</v>
      </c>
      <c r="D5" s="653"/>
      <c r="E5" s="652"/>
      <c r="F5" s="652"/>
      <c r="G5" s="21"/>
      <c r="H5" s="652" t="s">
        <v>45</v>
      </c>
      <c r="I5" s="652"/>
      <c r="J5" s="652"/>
      <c r="K5" s="22" t="s">
        <v>242</v>
      </c>
      <c r="L5" s="23"/>
      <c r="M5" s="661"/>
      <c r="N5" s="25">
        <f>VLOOKUP(I10,C17:I73,5)</f>
        <v>0</v>
      </c>
      <c r="P5" s="652"/>
    </row>
    <row r="6" spans="1:16" ht="15.5">
      <c r="C6" s="8"/>
      <c r="D6" s="653"/>
      <c r="E6" s="652"/>
      <c r="F6" s="652"/>
      <c r="G6" s="652"/>
      <c r="H6" s="26"/>
      <c r="I6" s="26"/>
      <c r="J6" s="27"/>
      <c r="K6" s="28" t="s">
        <v>243</v>
      </c>
      <c r="L6" s="29"/>
      <c r="M6" s="652"/>
      <c r="N6" s="30">
        <f>VLOOKUP(I10,C17:I73,6)</f>
        <v>0</v>
      </c>
      <c r="O6" s="652"/>
      <c r="P6" s="652"/>
    </row>
    <row r="7" spans="1:16" ht="13.5" thickBot="1">
      <c r="C7" s="662" t="s">
        <v>46</v>
      </c>
      <c r="D7" s="104"/>
      <c r="E7" s="652"/>
      <c r="F7" s="652"/>
      <c r="G7" s="652"/>
      <c r="H7" s="655"/>
      <c r="I7" s="655"/>
      <c r="J7" s="659"/>
      <c r="K7" s="32" t="s">
        <v>47</v>
      </c>
      <c r="L7" s="663"/>
      <c r="M7" s="663"/>
      <c r="N7" s="664">
        <f>+N6-N5</f>
        <v>0</v>
      </c>
      <c r="O7" s="652"/>
      <c r="P7" s="652"/>
    </row>
    <row r="8" spans="1:16" ht="13.5" thickBot="1">
      <c r="C8" s="665"/>
      <c r="D8" s="100"/>
      <c r="E8" s="666"/>
      <c r="F8" s="666"/>
      <c r="G8" s="666"/>
      <c r="H8" s="666"/>
      <c r="I8" s="666"/>
      <c r="J8" s="666"/>
      <c r="K8" s="666"/>
      <c r="L8" s="666"/>
      <c r="M8" s="666"/>
      <c r="N8" s="666"/>
      <c r="O8" s="666"/>
      <c r="P8" s="652"/>
    </row>
    <row r="9" spans="1:16" ht="13.5" thickBot="1">
      <c r="C9" s="667" t="s">
        <v>48</v>
      </c>
      <c r="D9" s="106"/>
      <c r="E9" s="668" t="s">
        <v>299</v>
      </c>
      <c r="F9" s="669"/>
      <c r="G9" s="669"/>
      <c r="H9" s="669"/>
      <c r="I9" s="670"/>
      <c r="J9" s="671"/>
      <c r="P9" s="652"/>
    </row>
    <row r="10" spans="1:16" ht="13">
      <c r="C10" s="672" t="s">
        <v>49</v>
      </c>
      <c r="D10" s="43">
        <v>0</v>
      </c>
      <c r="E10" s="652" t="s">
        <v>50</v>
      </c>
      <c r="G10" s="653"/>
      <c r="H10" s="653"/>
      <c r="I10" s="673">
        <v>2022</v>
      </c>
      <c r="J10" s="671"/>
      <c r="K10" s="659" t="s">
        <v>51</v>
      </c>
      <c r="O10" s="652"/>
      <c r="P10" s="652"/>
    </row>
    <row r="11" spans="1:16">
      <c r="C11" s="672" t="s">
        <v>52</v>
      </c>
      <c r="D11" s="47">
        <v>2022</v>
      </c>
      <c r="E11" s="672" t="s">
        <v>53</v>
      </c>
      <c r="F11" s="653"/>
      <c r="I11" s="674">
        <v>0</v>
      </c>
      <c r="J11" s="675"/>
      <c r="K11" t="str">
        <f>"          INPUT PROJECTED ARR (WITH &amp; WITHOUT INCENTIVES) FROM EACH PRIOR YEAR"</f>
        <v xml:space="preserve">          INPUT PROJECTED ARR (WITH &amp; WITHOUT INCENTIVES) FROM EACH PRIOR YEAR</v>
      </c>
      <c r="O11" s="652"/>
      <c r="P11" s="652"/>
    </row>
    <row r="12" spans="1:16">
      <c r="C12" s="672" t="s">
        <v>54</v>
      </c>
      <c r="D12" s="43">
        <v>12</v>
      </c>
      <c r="E12" s="672" t="s">
        <v>55</v>
      </c>
      <c r="F12" s="653"/>
      <c r="I12" s="676">
        <v>0.11475877389767174</v>
      </c>
      <c r="J12" s="654"/>
      <c r="K12" t="s">
        <v>56</v>
      </c>
      <c r="O12" s="652"/>
      <c r="P12" s="652"/>
    </row>
    <row r="13" spans="1:16">
      <c r="C13" s="672" t="s">
        <v>57</v>
      </c>
      <c r="D13" s="674">
        <v>33</v>
      </c>
      <c r="E13" s="672" t="s">
        <v>58</v>
      </c>
      <c r="F13" s="653"/>
      <c r="I13" s="676">
        <v>0.11475877389767174</v>
      </c>
      <c r="J13" s="654"/>
      <c r="K13" s="659" t="s">
        <v>59</v>
      </c>
      <c r="L13" s="654"/>
      <c r="M13" s="654"/>
      <c r="N13" s="654"/>
      <c r="O13" s="652"/>
      <c r="P13" s="652"/>
    </row>
    <row r="14" spans="1:16" ht="13" thickBot="1">
      <c r="C14" s="672" t="s">
        <v>60</v>
      </c>
      <c r="D14" s="47" t="s">
        <v>61</v>
      </c>
      <c r="E14" s="652" t="s">
        <v>62</v>
      </c>
      <c r="F14" s="653"/>
      <c r="I14" s="677">
        <f>IF(D10=0,0,D10/D13)</f>
        <v>0</v>
      </c>
      <c r="J14" s="659"/>
      <c r="K14" s="659"/>
      <c r="L14" s="659"/>
      <c r="M14" s="659"/>
      <c r="N14" s="659"/>
      <c r="O14" s="652"/>
      <c r="P14" s="652"/>
    </row>
    <row r="15" spans="1:16" ht="39">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652"/>
    </row>
    <row r="16" spans="1:16" ht="13.5" thickBot="1">
      <c r="C16" s="57" t="s">
        <v>68</v>
      </c>
      <c r="D16" s="140" t="s">
        <v>69</v>
      </c>
      <c r="E16" s="57" t="s">
        <v>70</v>
      </c>
      <c r="F16" s="57" t="s">
        <v>69</v>
      </c>
      <c r="G16" s="142" t="s">
        <v>71</v>
      </c>
      <c r="H16" s="58" t="s">
        <v>72</v>
      </c>
      <c r="I16" s="57" t="s">
        <v>93</v>
      </c>
      <c r="J16" s="55" t="s">
        <v>73</v>
      </c>
      <c r="K16" s="61" t="s">
        <v>74</v>
      </c>
      <c r="L16" s="135" t="s">
        <v>74</v>
      </c>
      <c r="M16" s="61" t="s">
        <v>94</v>
      </c>
      <c r="N16" s="136" t="s">
        <v>94</v>
      </c>
      <c r="O16" s="61" t="s">
        <v>94</v>
      </c>
      <c r="P16" s="652"/>
    </row>
    <row r="17" spans="2:16">
      <c r="B17" t="str">
        <f t="shared" ref="B17:B71" si="0">IF(D17=F16,"","IU")</f>
        <v>IU</v>
      </c>
      <c r="C17" s="678">
        <f>IF(D11= "","-",D11)</f>
        <v>2022</v>
      </c>
      <c r="D17" s="679">
        <v>0</v>
      </c>
      <c r="E17" s="680">
        <f>IF(D10&gt;=100000,I$14/12*(12-D12),0)</f>
        <v>0</v>
      </c>
      <c r="F17" s="681">
        <f>IF(D11=C17,+D10-E17,+D17-E17)</f>
        <v>0</v>
      </c>
      <c r="G17" s="680">
        <f>(D17+F17)/2*I$12+E17</f>
        <v>0</v>
      </c>
      <c r="H17" s="677">
        <f>+(D17+F17)/2*I$13+E17</f>
        <v>0</v>
      </c>
      <c r="I17" s="682">
        <f t="shared" ref="I17:I71" si="1">H17-G17</f>
        <v>0</v>
      </c>
      <c r="J17" s="682"/>
      <c r="K17" s="683"/>
      <c r="L17" s="684">
        <f t="shared" ref="L17:L71" si="2">IF(K17&lt;&gt;0,+G17-K17,0)</f>
        <v>0</v>
      </c>
      <c r="M17" s="683"/>
      <c r="N17" s="684">
        <f t="shared" ref="N17:N71" si="3">IF(M17&lt;&gt;0,+H17-M17,0)</f>
        <v>0</v>
      </c>
      <c r="O17" s="685">
        <f t="shared" ref="O17:O71" si="4">+N17-L17</f>
        <v>0</v>
      </c>
      <c r="P17" s="652"/>
    </row>
    <row r="18" spans="2:16">
      <c r="B18" t="str">
        <f t="shared" si="0"/>
        <v/>
      </c>
      <c r="C18" s="678">
        <f>IF(D11="","-",+C17+1)</f>
        <v>2023</v>
      </c>
      <c r="D18" s="681">
        <f>IF(F17+SUM(E$17:E17)=D$10,F17,D$10-SUM(E$17:E17))</f>
        <v>0</v>
      </c>
      <c r="E18" s="69">
        <f t="shared" ref="E18:E71" si="5">IF(+I$14&lt;F17,I$14,D18)</f>
        <v>0</v>
      </c>
      <c r="F18" s="681">
        <f t="shared" ref="F18:F71" si="6">+D18-E18</f>
        <v>0</v>
      </c>
      <c r="G18" s="686">
        <f t="shared" ref="G18:G71" si="7">(D18+F18)/2*I$12+E18</f>
        <v>0</v>
      </c>
      <c r="H18" s="677">
        <f t="shared" ref="H18:H71" si="8">+(D18+F18)/2*I$13+E18</f>
        <v>0</v>
      </c>
      <c r="I18" s="682">
        <f t="shared" si="1"/>
        <v>0</v>
      </c>
      <c r="J18" s="682"/>
      <c r="K18" s="130"/>
      <c r="L18" s="685">
        <f t="shared" si="2"/>
        <v>0</v>
      </c>
      <c r="M18" s="130"/>
      <c r="N18" s="685">
        <f t="shared" si="3"/>
        <v>0</v>
      </c>
      <c r="O18" s="685">
        <f t="shared" si="4"/>
        <v>0</v>
      </c>
      <c r="P18" s="652"/>
    </row>
    <row r="19" spans="2:16">
      <c r="B19" t="str">
        <f t="shared" si="0"/>
        <v/>
      </c>
      <c r="C19" s="678">
        <f>IF(D11="","-",+C18+1)</f>
        <v>2024</v>
      </c>
      <c r="D19" s="681">
        <f>IF(F18+SUM(E$17:E18)=D$10,F18,D$10-SUM(E$17:E18))</f>
        <v>0</v>
      </c>
      <c r="E19" s="69">
        <f t="shared" si="5"/>
        <v>0</v>
      </c>
      <c r="F19" s="681">
        <f t="shared" si="6"/>
        <v>0</v>
      </c>
      <c r="G19" s="686">
        <f t="shared" si="7"/>
        <v>0</v>
      </c>
      <c r="H19" s="677">
        <f t="shared" si="8"/>
        <v>0</v>
      </c>
      <c r="I19" s="682">
        <f t="shared" si="1"/>
        <v>0</v>
      </c>
      <c r="J19" s="682"/>
      <c r="K19" s="130"/>
      <c r="L19" s="685">
        <f t="shared" si="2"/>
        <v>0</v>
      </c>
      <c r="M19" s="130"/>
      <c r="N19" s="685">
        <f t="shared" si="3"/>
        <v>0</v>
      </c>
      <c r="O19" s="685">
        <f t="shared" si="4"/>
        <v>0</v>
      </c>
      <c r="P19" s="652"/>
    </row>
    <row r="20" spans="2:16">
      <c r="B20" t="str">
        <f t="shared" si="0"/>
        <v/>
      </c>
      <c r="C20" s="678">
        <f>IF(D11="","-",+C19+1)</f>
        <v>2025</v>
      </c>
      <c r="D20" s="681">
        <f>IF(F19+SUM(E$17:E19)=D$10,F19,D$10-SUM(E$17:E19))</f>
        <v>0</v>
      </c>
      <c r="E20" s="69">
        <f t="shared" si="5"/>
        <v>0</v>
      </c>
      <c r="F20" s="681">
        <f t="shared" si="6"/>
        <v>0</v>
      </c>
      <c r="G20" s="686">
        <f t="shared" si="7"/>
        <v>0</v>
      </c>
      <c r="H20" s="677">
        <f t="shared" si="8"/>
        <v>0</v>
      </c>
      <c r="I20" s="682">
        <f t="shared" si="1"/>
        <v>0</v>
      </c>
      <c r="J20" s="682"/>
      <c r="K20" s="130"/>
      <c r="L20" s="685">
        <f t="shared" si="2"/>
        <v>0</v>
      </c>
      <c r="M20" s="130"/>
      <c r="N20" s="685">
        <f t="shared" si="3"/>
        <v>0</v>
      </c>
      <c r="O20" s="685">
        <f t="shared" si="4"/>
        <v>0</v>
      </c>
      <c r="P20" s="652"/>
    </row>
    <row r="21" spans="2:16">
      <c r="B21" t="str">
        <f t="shared" si="0"/>
        <v/>
      </c>
      <c r="C21" s="678">
        <f>IF(D11="","-",+C20+1)</f>
        <v>2026</v>
      </c>
      <c r="D21" s="681">
        <f>IF(F20+SUM(E$17:E20)=D$10,F20,D$10-SUM(E$17:E20))</f>
        <v>0</v>
      </c>
      <c r="E21" s="69">
        <f t="shared" si="5"/>
        <v>0</v>
      </c>
      <c r="F21" s="681">
        <f t="shared" si="6"/>
        <v>0</v>
      </c>
      <c r="G21" s="686">
        <f t="shared" si="7"/>
        <v>0</v>
      </c>
      <c r="H21" s="677">
        <f t="shared" si="8"/>
        <v>0</v>
      </c>
      <c r="I21" s="682">
        <f t="shared" si="1"/>
        <v>0</v>
      </c>
      <c r="J21" s="682"/>
      <c r="K21" s="130"/>
      <c r="L21" s="685">
        <f t="shared" si="2"/>
        <v>0</v>
      </c>
      <c r="M21" s="130"/>
      <c r="N21" s="685">
        <f t="shared" si="3"/>
        <v>0</v>
      </c>
      <c r="O21" s="685">
        <f t="shared" si="4"/>
        <v>0</v>
      </c>
      <c r="P21" s="652"/>
    </row>
    <row r="22" spans="2:16">
      <c r="B22" t="str">
        <f t="shared" si="0"/>
        <v/>
      </c>
      <c r="C22" s="678">
        <f>IF(D11="","-",+C21+1)</f>
        <v>2027</v>
      </c>
      <c r="D22" s="681">
        <f>IF(F21+SUM(E$17:E21)=D$10,F21,D$10-SUM(E$17:E21))</f>
        <v>0</v>
      </c>
      <c r="E22" s="69">
        <f t="shared" si="5"/>
        <v>0</v>
      </c>
      <c r="F22" s="681">
        <f t="shared" si="6"/>
        <v>0</v>
      </c>
      <c r="G22" s="686">
        <f t="shared" si="7"/>
        <v>0</v>
      </c>
      <c r="H22" s="677">
        <f t="shared" si="8"/>
        <v>0</v>
      </c>
      <c r="I22" s="682">
        <f t="shared" si="1"/>
        <v>0</v>
      </c>
      <c r="J22" s="682"/>
      <c r="K22" s="130"/>
      <c r="L22" s="685">
        <f t="shared" si="2"/>
        <v>0</v>
      </c>
      <c r="M22" s="130"/>
      <c r="N22" s="685">
        <f t="shared" si="3"/>
        <v>0</v>
      </c>
      <c r="O22" s="685">
        <f t="shared" si="4"/>
        <v>0</v>
      </c>
      <c r="P22" s="652"/>
    </row>
    <row r="23" spans="2:16">
      <c r="B23" t="str">
        <f t="shared" si="0"/>
        <v/>
      </c>
      <c r="C23" s="678">
        <f>IF(D11="","-",+C22+1)</f>
        <v>2028</v>
      </c>
      <c r="D23" s="681">
        <f>IF(F22+SUM(E$17:E22)=D$10,F22,D$10-SUM(E$17:E22))</f>
        <v>0</v>
      </c>
      <c r="E23" s="69">
        <f t="shared" si="5"/>
        <v>0</v>
      </c>
      <c r="F23" s="681">
        <f t="shared" si="6"/>
        <v>0</v>
      </c>
      <c r="G23" s="686">
        <f t="shared" si="7"/>
        <v>0</v>
      </c>
      <c r="H23" s="677">
        <f t="shared" si="8"/>
        <v>0</v>
      </c>
      <c r="I23" s="682">
        <f t="shared" si="1"/>
        <v>0</v>
      </c>
      <c r="J23" s="682"/>
      <c r="K23" s="130"/>
      <c r="L23" s="685">
        <f t="shared" si="2"/>
        <v>0</v>
      </c>
      <c r="M23" s="130"/>
      <c r="N23" s="685">
        <f t="shared" si="3"/>
        <v>0</v>
      </c>
      <c r="O23" s="685">
        <f t="shared" si="4"/>
        <v>0</v>
      </c>
      <c r="P23" s="652"/>
    </row>
    <row r="24" spans="2:16">
      <c r="B24" t="str">
        <f t="shared" si="0"/>
        <v/>
      </c>
      <c r="C24" s="678">
        <f>IF(D11="","-",+C23+1)</f>
        <v>2029</v>
      </c>
      <c r="D24" s="681">
        <f>IF(F23+SUM(E$17:E23)=D$10,F23,D$10-SUM(E$17:E23))</f>
        <v>0</v>
      </c>
      <c r="E24" s="69">
        <f t="shared" si="5"/>
        <v>0</v>
      </c>
      <c r="F24" s="681">
        <f t="shared" si="6"/>
        <v>0</v>
      </c>
      <c r="G24" s="686">
        <f t="shared" si="7"/>
        <v>0</v>
      </c>
      <c r="H24" s="677">
        <f t="shared" si="8"/>
        <v>0</v>
      </c>
      <c r="I24" s="682">
        <f t="shared" si="1"/>
        <v>0</v>
      </c>
      <c r="J24" s="682"/>
      <c r="K24" s="130"/>
      <c r="L24" s="685">
        <f t="shared" si="2"/>
        <v>0</v>
      </c>
      <c r="M24" s="130"/>
      <c r="N24" s="685">
        <f t="shared" si="3"/>
        <v>0</v>
      </c>
      <c r="O24" s="685">
        <f t="shared" si="4"/>
        <v>0</v>
      </c>
      <c r="P24" s="652"/>
    </row>
    <row r="25" spans="2:16">
      <c r="B25" t="str">
        <f t="shared" si="0"/>
        <v/>
      </c>
      <c r="C25" s="678">
        <f>IF(D11="","-",+C24+1)</f>
        <v>2030</v>
      </c>
      <c r="D25" s="681">
        <f>IF(F24+SUM(E$17:E24)=D$10,F24,D$10-SUM(E$17:E24))</f>
        <v>0</v>
      </c>
      <c r="E25" s="69">
        <f t="shared" si="5"/>
        <v>0</v>
      </c>
      <c r="F25" s="681">
        <f t="shared" si="6"/>
        <v>0</v>
      </c>
      <c r="G25" s="686">
        <f t="shared" si="7"/>
        <v>0</v>
      </c>
      <c r="H25" s="677">
        <f t="shared" si="8"/>
        <v>0</v>
      </c>
      <c r="I25" s="682">
        <f t="shared" si="1"/>
        <v>0</v>
      </c>
      <c r="J25" s="682"/>
      <c r="K25" s="130"/>
      <c r="L25" s="685">
        <f t="shared" si="2"/>
        <v>0</v>
      </c>
      <c r="M25" s="130"/>
      <c r="N25" s="685">
        <f t="shared" si="3"/>
        <v>0</v>
      </c>
      <c r="O25" s="685">
        <f t="shared" si="4"/>
        <v>0</v>
      </c>
      <c r="P25" s="652"/>
    </row>
    <row r="26" spans="2:16">
      <c r="B26" t="str">
        <f t="shared" si="0"/>
        <v/>
      </c>
      <c r="C26" s="678">
        <f>IF(D11="","-",+C25+1)</f>
        <v>2031</v>
      </c>
      <c r="D26" s="681">
        <f>IF(F25+SUM(E$17:E25)=D$10,F25,D$10-SUM(E$17:E25))</f>
        <v>0</v>
      </c>
      <c r="E26" s="69">
        <f t="shared" si="5"/>
        <v>0</v>
      </c>
      <c r="F26" s="681">
        <f t="shared" si="6"/>
        <v>0</v>
      </c>
      <c r="G26" s="686">
        <f t="shared" si="7"/>
        <v>0</v>
      </c>
      <c r="H26" s="677">
        <f t="shared" si="8"/>
        <v>0</v>
      </c>
      <c r="I26" s="682">
        <f t="shared" si="1"/>
        <v>0</v>
      </c>
      <c r="J26" s="682"/>
      <c r="K26" s="130"/>
      <c r="L26" s="685">
        <f t="shared" si="2"/>
        <v>0</v>
      </c>
      <c r="M26" s="130"/>
      <c r="N26" s="685">
        <f t="shared" si="3"/>
        <v>0</v>
      </c>
      <c r="O26" s="685">
        <f t="shared" si="4"/>
        <v>0</v>
      </c>
      <c r="P26" s="652"/>
    </row>
    <row r="27" spans="2:16">
      <c r="B27" t="str">
        <f t="shared" si="0"/>
        <v/>
      </c>
      <c r="C27" s="678">
        <f>IF(D11="","-",+C26+1)</f>
        <v>2032</v>
      </c>
      <c r="D27" s="681">
        <f>IF(F26+SUM(E$17:E26)=D$10,F26,D$10-SUM(E$17:E26))</f>
        <v>0</v>
      </c>
      <c r="E27" s="69">
        <f t="shared" si="5"/>
        <v>0</v>
      </c>
      <c r="F27" s="681">
        <f t="shared" si="6"/>
        <v>0</v>
      </c>
      <c r="G27" s="686">
        <f t="shared" si="7"/>
        <v>0</v>
      </c>
      <c r="H27" s="677">
        <f t="shared" si="8"/>
        <v>0</v>
      </c>
      <c r="I27" s="682">
        <f t="shared" si="1"/>
        <v>0</v>
      </c>
      <c r="J27" s="682"/>
      <c r="K27" s="130"/>
      <c r="L27" s="685">
        <f t="shared" si="2"/>
        <v>0</v>
      </c>
      <c r="M27" s="130"/>
      <c r="N27" s="685">
        <f t="shared" si="3"/>
        <v>0</v>
      </c>
      <c r="O27" s="685">
        <f t="shared" si="4"/>
        <v>0</v>
      </c>
      <c r="P27" s="652"/>
    </row>
    <row r="28" spans="2:16">
      <c r="B28" t="str">
        <f t="shared" si="0"/>
        <v/>
      </c>
      <c r="C28" s="678">
        <f>IF(D11="","-",+C27+1)</f>
        <v>2033</v>
      </c>
      <c r="D28" s="681">
        <f>IF(F27+SUM(E$17:E27)=D$10,F27,D$10-SUM(E$17:E27))</f>
        <v>0</v>
      </c>
      <c r="E28" s="69">
        <f t="shared" si="5"/>
        <v>0</v>
      </c>
      <c r="F28" s="681">
        <f t="shared" si="6"/>
        <v>0</v>
      </c>
      <c r="G28" s="686">
        <f t="shared" si="7"/>
        <v>0</v>
      </c>
      <c r="H28" s="677">
        <f t="shared" si="8"/>
        <v>0</v>
      </c>
      <c r="I28" s="682">
        <f t="shared" si="1"/>
        <v>0</v>
      </c>
      <c r="J28" s="682"/>
      <c r="K28" s="130"/>
      <c r="L28" s="685">
        <f t="shared" si="2"/>
        <v>0</v>
      </c>
      <c r="M28" s="130"/>
      <c r="N28" s="685">
        <f t="shared" si="3"/>
        <v>0</v>
      </c>
      <c r="O28" s="685">
        <f t="shared" si="4"/>
        <v>0</v>
      </c>
      <c r="P28" s="652"/>
    </row>
    <row r="29" spans="2:16">
      <c r="B29" t="str">
        <f t="shared" si="0"/>
        <v/>
      </c>
      <c r="C29" s="678">
        <f>IF(D11="","-",+C28+1)</f>
        <v>2034</v>
      </c>
      <c r="D29" s="681">
        <f>IF(F28+SUM(E$17:E28)=D$10,F28,D$10-SUM(E$17:E28))</f>
        <v>0</v>
      </c>
      <c r="E29" s="69">
        <f t="shared" si="5"/>
        <v>0</v>
      </c>
      <c r="F29" s="681">
        <f t="shared" si="6"/>
        <v>0</v>
      </c>
      <c r="G29" s="686">
        <f t="shared" si="7"/>
        <v>0</v>
      </c>
      <c r="H29" s="677">
        <f t="shared" si="8"/>
        <v>0</v>
      </c>
      <c r="I29" s="682">
        <f t="shared" si="1"/>
        <v>0</v>
      </c>
      <c r="J29" s="682"/>
      <c r="K29" s="130"/>
      <c r="L29" s="685">
        <f t="shared" si="2"/>
        <v>0</v>
      </c>
      <c r="M29" s="130"/>
      <c r="N29" s="685">
        <f t="shared" si="3"/>
        <v>0</v>
      </c>
      <c r="O29" s="685">
        <f t="shared" si="4"/>
        <v>0</v>
      </c>
      <c r="P29" s="652"/>
    </row>
    <row r="30" spans="2:16">
      <c r="B30" t="str">
        <f t="shared" si="0"/>
        <v/>
      </c>
      <c r="C30" s="678">
        <f>IF(D11="","-",+C29+1)</f>
        <v>2035</v>
      </c>
      <c r="D30" s="681">
        <f>IF(F29+SUM(E$17:E29)=D$10,F29,D$10-SUM(E$17:E29))</f>
        <v>0</v>
      </c>
      <c r="E30" s="69">
        <f t="shared" si="5"/>
        <v>0</v>
      </c>
      <c r="F30" s="681">
        <f t="shared" si="6"/>
        <v>0</v>
      </c>
      <c r="G30" s="686">
        <f t="shared" si="7"/>
        <v>0</v>
      </c>
      <c r="H30" s="677">
        <f t="shared" si="8"/>
        <v>0</v>
      </c>
      <c r="I30" s="682">
        <f t="shared" si="1"/>
        <v>0</v>
      </c>
      <c r="J30" s="682"/>
      <c r="K30" s="130"/>
      <c r="L30" s="685">
        <f t="shared" si="2"/>
        <v>0</v>
      </c>
      <c r="M30" s="130"/>
      <c r="N30" s="685">
        <f t="shared" si="3"/>
        <v>0</v>
      </c>
      <c r="O30" s="685">
        <f t="shared" si="4"/>
        <v>0</v>
      </c>
      <c r="P30" s="652"/>
    </row>
    <row r="31" spans="2:16">
      <c r="B31" t="str">
        <f t="shared" si="0"/>
        <v/>
      </c>
      <c r="C31" s="678">
        <f>IF(D11="","-",+C30+1)</f>
        <v>2036</v>
      </c>
      <c r="D31" s="681">
        <f>IF(F30+SUM(E$17:E30)=D$10,F30,D$10-SUM(E$17:E30))</f>
        <v>0</v>
      </c>
      <c r="E31" s="69">
        <f t="shared" si="5"/>
        <v>0</v>
      </c>
      <c r="F31" s="681">
        <f t="shared" si="6"/>
        <v>0</v>
      </c>
      <c r="G31" s="686">
        <f t="shared" si="7"/>
        <v>0</v>
      </c>
      <c r="H31" s="677">
        <f t="shared" si="8"/>
        <v>0</v>
      </c>
      <c r="I31" s="682">
        <f t="shared" si="1"/>
        <v>0</v>
      </c>
      <c r="J31" s="682"/>
      <c r="K31" s="130"/>
      <c r="L31" s="685">
        <f t="shared" si="2"/>
        <v>0</v>
      </c>
      <c r="M31" s="130"/>
      <c r="N31" s="685">
        <f t="shared" si="3"/>
        <v>0</v>
      </c>
      <c r="O31" s="685">
        <f t="shared" si="4"/>
        <v>0</v>
      </c>
      <c r="P31" s="652"/>
    </row>
    <row r="32" spans="2:16">
      <c r="B32" t="str">
        <f t="shared" si="0"/>
        <v/>
      </c>
      <c r="C32" s="678">
        <f>IF(D11="","-",+C31+1)</f>
        <v>2037</v>
      </c>
      <c r="D32" s="681">
        <f>IF(F31+SUM(E$17:E31)=D$10,F31,D$10-SUM(E$17:E31))</f>
        <v>0</v>
      </c>
      <c r="E32" s="69">
        <f t="shared" si="5"/>
        <v>0</v>
      </c>
      <c r="F32" s="681">
        <f t="shared" si="6"/>
        <v>0</v>
      </c>
      <c r="G32" s="686">
        <f t="shared" si="7"/>
        <v>0</v>
      </c>
      <c r="H32" s="677">
        <f t="shared" si="8"/>
        <v>0</v>
      </c>
      <c r="I32" s="682">
        <f t="shared" si="1"/>
        <v>0</v>
      </c>
      <c r="J32" s="682"/>
      <c r="K32" s="130"/>
      <c r="L32" s="685">
        <f t="shared" si="2"/>
        <v>0</v>
      </c>
      <c r="M32" s="130"/>
      <c r="N32" s="685">
        <f t="shared" si="3"/>
        <v>0</v>
      </c>
      <c r="O32" s="685">
        <f t="shared" si="4"/>
        <v>0</v>
      </c>
      <c r="P32" s="652"/>
    </row>
    <row r="33" spans="2:16">
      <c r="B33" t="str">
        <f t="shared" si="0"/>
        <v/>
      </c>
      <c r="C33" s="678">
        <f>IF(D11="","-",+C32+1)</f>
        <v>2038</v>
      </c>
      <c r="D33" s="681">
        <f>IF(F32+SUM(E$17:E32)=D$10,F32,D$10-SUM(E$17:E32))</f>
        <v>0</v>
      </c>
      <c r="E33" s="69">
        <f t="shared" si="5"/>
        <v>0</v>
      </c>
      <c r="F33" s="681">
        <f t="shared" si="6"/>
        <v>0</v>
      </c>
      <c r="G33" s="686">
        <f t="shared" si="7"/>
        <v>0</v>
      </c>
      <c r="H33" s="677">
        <f t="shared" si="8"/>
        <v>0</v>
      </c>
      <c r="I33" s="682">
        <f t="shared" si="1"/>
        <v>0</v>
      </c>
      <c r="J33" s="682"/>
      <c r="K33" s="130"/>
      <c r="L33" s="685">
        <f t="shared" si="2"/>
        <v>0</v>
      </c>
      <c r="M33" s="130"/>
      <c r="N33" s="685">
        <f t="shared" si="3"/>
        <v>0</v>
      </c>
      <c r="O33" s="685">
        <f t="shared" si="4"/>
        <v>0</v>
      </c>
      <c r="P33" s="652"/>
    </row>
    <row r="34" spans="2:16">
      <c r="B34" t="str">
        <f t="shared" si="0"/>
        <v/>
      </c>
      <c r="C34" s="678">
        <f>IF(D11="","-",+C33+1)</f>
        <v>2039</v>
      </c>
      <c r="D34" s="681">
        <f>IF(F33+SUM(E$17:E33)=D$10,F33,D$10-SUM(E$17:E33))</f>
        <v>0</v>
      </c>
      <c r="E34" s="69">
        <f t="shared" si="5"/>
        <v>0</v>
      </c>
      <c r="F34" s="681">
        <f t="shared" si="6"/>
        <v>0</v>
      </c>
      <c r="G34" s="686">
        <f t="shared" si="7"/>
        <v>0</v>
      </c>
      <c r="H34" s="677">
        <f t="shared" si="8"/>
        <v>0</v>
      </c>
      <c r="I34" s="682">
        <f t="shared" si="1"/>
        <v>0</v>
      </c>
      <c r="J34" s="682"/>
      <c r="K34" s="130"/>
      <c r="L34" s="685">
        <f t="shared" si="2"/>
        <v>0</v>
      </c>
      <c r="M34" s="130"/>
      <c r="N34" s="685">
        <f t="shared" si="3"/>
        <v>0</v>
      </c>
      <c r="O34" s="685">
        <f t="shared" si="4"/>
        <v>0</v>
      </c>
      <c r="P34" s="652"/>
    </row>
    <row r="35" spans="2:16">
      <c r="B35" t="str">
        <f t="shared" si="0"/>
        <v/>
      </c>
      <c r="C35" s="678">
        <f>IF(D11="","-",+C34+1)</f>
        <v>2040</v>
      </c>
      <c r="D35" s="681">
        <f>IF(F34+SUM(E$17:E34)=D$10,F34,D$10-SUM(E$17:E34))</f>
        <v>0</v>
      </c>
      <c r="E35" s="69">
        <f t="shared" si="5"/>
        <v>0</v>
      </c>
      <c r="F35" s="681">
        <f t="shared" si="6"/>
        <v>0</v>
      </c>
      <c r="G35" s="686">
        <f t="shared" si="7"/>
        <v>0</v>
      </c>
      <c r="H35" s="677">
        <f t="shared" si="8"/>
        <v>0</v>
      </c>
      <c r="I35" s="682">
        <f t="shared" si="1"/>
        <v>0</v>
      </c>
      <c r="J35" s="682"/>
      <c r="K35" s="130"/>
      <c r="L35" s="685">
        <f t="shared" si="2"/>
        <v>0</v>
      </c>
      <c r="M35" s="130"/>
      <c r="N35" s="685">
        <f t="shared" si="3"/>
        <v>0</v>
      </c>
      <c r="O35" s="685">
        <f t="shared" si="4"/>
        <v>0</v>
      </c>
      <c r="P35" s="652"/>
    </row>
    <row r="36" spans="2:16">
      <c r="B36" t="str">
        <f t="shared" si="0"/>
        <v/>
      </c>
      <c r="C36" s="678">
        <f>IF(D11="","-",+C35+1)</f>
        <v>2041</v>
      </c>
      <c r="D36" s="681">
        <f>IF(F35+SUM(E$17:E35)=D$10,F35,D$10-SUM(E$17:E35))</f>
        <v>0</v>
      </c>
      <c r="E36" s="69">
        <f t="shared" si="5"/>
        <v>0</v>
      </c>
      <c r="F36" s="681">
        <f t="shared" si="6"/>
        <v>0</v>
      </c>
      <c r="G36" s="686">
        <f t="shared" si="7"/>
        <v>0</v>
      </c>
      <c r="H36" s="677">
        <f t="shared" si="8"/>
        <v>0</v>
      </c>
      <c r="I36" s="682">
        <f t="shared" si="1"/>
        <v>0</v>
      </c>
      <c r="J36" s="682"/>
      <c r="K36" s="130"/>
      <c r="L36" s="685">
        <f t="shared" si="2"/>
        <v>0</v>
      </c>
      <c r="M36" s="130"/>
      <c r="N36" s="685">
        <f t="shared" si="3"/>
        <v>0</v>
      </c>
      <c r="O36" s="685">
        <f t="shared" si="4"/>
        <v>0</v>
      </c>
      <c r="P36" s="652"/>
    </row>
    <row r="37" spans="2:16">
      <c r="B37" t="str">
        <f t="shared" si="0"/>
        <v/>
      </c>
      <c r="C37" s="678">
        <f>IF(D11="","-",+C36+1)</f>
        <v>2042</v>
      </c>
      <c r="D37" s="681">
        <f>IF(F36+SUM(E$17:E36)=D$10,F36,D$10-SUM(E$17:E36))</f>
        <v>0</v>
      </c>
      <c r="E37" s="69">
        <f t="shared" si="5"/>
        <v>0</v>
      </c>
      <c r="F37" s="681">
        <f t="shared" si="6"/>
        <v>0</v>
      </c>
      <c r="G37" s="686">
        <f t="shared" si="7"/>
        <v>0</v>
      </c>
      <c r="H37" s="677">
        <f t="shared" si="8"/>
        <v>0</v>
      </c>
      <c r="I37" s="682">
        <f t="shared" si="1"/>
        <v>0</v>
      </c>
      <c r="J37" s="682"/>
      <c r="K37" s="130"/>
      <c r="L37" s="685">
        <f t="shared" si="2"/>
        <v>0</v>
      </c>
      <c r="M37" s="130"/>
      <c r="N37" s="685">
        <f t="shared" si="3"/>
        <v>0</v>
      </c>
      <c r="O37" s="685">
        <f t="shared" si="4"/>
        <v>0</v>
      </c>
      <c r="P37" s="652"/>
    </row>
    <row r="38" spans="2:16">
      <c r="B38" t="str">
        <f t="shared" si="0"/>
        <v/>
      </c>
      <c r="C38" s="678">
        <f>IF(D11="","-",+C37+1)</f>
        <v>2043</v>
      </c>
      <c r="D38" s="681">
        <f>IF(F37+SUM(E$17:E37)=D$10,F37,D$10-SUM(E$17:E37))</f>
        <v>0</v>
      </c>
      <c r="E38" s="69">
        <f t="shared" si="5"/>
        <v>0</v>
      </c>
      <c r="F38" s="681">
        <f t="shared" si="6"/>
        <v>0</v>
      </c>
      <c r="G38" s="686">
        <f t="shared" si="7"/>
        <v>0</v>
      </c>
      <c r="H38" s="677">
        <f t="shared" si="8"/>
        <v>0</v>
      </c>
      <c r="I38" s="682">
        <f t="shared" si="1"/>
        <v>0</v>
      </c>
      <c r="J38" s="682"/>
      <c r="K38" s="130"/>
      <c r="L38" s="685">
        <f t="shared" si="2"/>
        <v>0</v>
      </c>
      <c r="M38" s="130"/>
      <c r="N38" s="685">
        <f t="shared" si="3"/>
        <v>0</v>
      </c>
      <c r="O38" s="685">
        <f t="shared" si="4"/>
        <v>0</v>
      </c>
      <c r="P38" s="652"/>
    </row>
    <row r="39" spans="2:16">
      <c r="B39" t="str">
        <f t="shared" si="0"/>
        <v/>
      </c>
      <c r="C39" s="678">
        <f>IF(D11="","-",+C38+1)</f>
        <v>2044</v>
      </c>
      <c r="D39" s="681">
        <f>IF(F38+SUM(E$17:E38)=D$10,F38,D$10-SUM(E$17:E38))</f>
        <v>0</v>
      </c>
      <c r="E39" s="69">
        <f t="shared" si="5"/>
        <v>0</v>
      </c>
      <c r="F39" s="681">
        <f t="shared" si="6"/>
        <v>0</v>
      </c>
      <c r="G39" s="686">
        <f t="shared" si="7"/>
        <v>0</v>
      </c>
      <c r="H39" s="677">
        <f t="shared" si="8"/>
        <v>0</v>
      </c>
      <c r="I39" s="682">
        <f t="shared" si="1"/>
        <v>0</v>
      </c>
      <c r="J39" s="682"/>
      <c r="K39" s="130"/>
      <c r="L39" s="685">
        <f t="shared" si="2"/>
        <v>0</v>
      </c>
      <c r="M39" s="130"/>
      <c r="N39" s="685">
        <f t="shared" si="3"/>
        <v>0</v>
      </c>
      <c r="O39" s="685">
        <f t="shared" si="4"/>
        <v>0</v>
      </c>
      <c r="P39" s="652"/>
    </row>
    <row r="40" spans="2:16">
      <c r="B40" t="str">
        <f t="shared" si="0"/>
        <v/>
      </c>
      <c r="C40" s="678">
        <f>IF(D11="","-",+C39+1)</f>
        <v>2045</v>
      </c>
      <c r="D40" s="681">
        <f>IF(F39+SUM(E$17:E39)=D$10,F39,D$10-SUM(E$17:E39))</f>
        <v>0</v>
      </c>
      <c r="E40" s="69">
        <f t="shared" si="5"/>
        <v>0</v>
      </c>
      <c r="F40" s="681">
        <f t="shared" si="6"/>
        <v>0</v>
      </c>
      <c r="G40" s="686">
        <f t="shared" si="7"/>
        <v>0</v>
      </c>
      <c r="H40" s="677">
        <f t="shared" si="8"/>
        <v>0</v>
      </c>
      <c r="I40" s="682">
        <f t="shared" si="1"/>
        <v>0</v>
      </c>
      <c r="J40" s="682"/>
      <c r="K40" s="130"/>
      <c r="L40" s="685">
        <f t="shared" si="2"/>
        <v>0</v>
      </c>
      <c r="M40" s="130"/>
      <c r="N40" s="685">
        <f t="shared" si="3"/>
        <v>0</v>
      </c>
      <c r="O40" s="685">
        <f t="shared" si="4"/>
        <v>0</v>
      </c>
      <c r="P40" s="652"/>
    </row>
    <row r="41" spans="2:16">
      <c r="B41" t="str">
        <f t="shared" si="0"/>
        <v/>
      </c>
      <c r="C41" s="678">
        <f>IF(D11="","-",+C40+1)</f>
        <v>2046</v>
      </c>
      <c r="D41" s="681">
        <f>IF(F40+SUM(E$17:E40)=D$10,F40,D$10-SUM(E$17:E40))</f>
        <v>0</v>
      </c>
      <c r="E41" s="69">
        <f t="shared" si="5"/>
        <v>0</v>
      </c>
      <c r="F41" s="681">
        <f t="shared" si="6"/>
        <v>0</v>
      </c>
      <c r="G41" s="686">
        <f t="shared" si="7"/>
        <v>0</v>
      </c>
      <c r="H41" s="677">
        <f t="shared" si="8"/>
        <v>0</v>
      </c>
      <c r="I41" s="682">
        <f t="shared" si="1"/>
        <v>0</v>
      </c>
      <c r="J41" s="682"/>
      <c r="K41" s="130"/>
      <c r="L41" s="685">
        <f t="shared" si="2"/>
        <v>0</v>
      </c>
      <c r="M41" s="130"/>
      <c r="N41" s="685">
        <f t="shared" si="3"/>
        <v>0</v>
      </c>
      <c r="O41" s="685">
        <f t="shared" si="4"/>
        <v>0</v>
      </c>
      <c r="P41" s="652"/>
    </row>
    <row r="42" spans="2:16">
      <c r="B42" t="str">
        <f t="shared" si="0"/>
        <v/>
      </c>
      <c r="C42" s="678">
        <f>IF(D11="","-",+C41+1)</f>
        <v>2047</v>
      </c>
      <c r="D42" s="681">
        <f>IF(F41+SUM(E$17:E41)=D$10,F41,D$10-SUM(E$17:E41))</f>
        <v>0</v>
      </c>
      <c r="E42" s="69">
        <f t="shared" si="5"/>
        <v>0</v>
      </c>
      <c r="F42" s="681">
        <f t="shared" si="6"/>
        <v>0</v>
      </c>
      <c r="G42" s="686">
        <f t="shared" si="7"/>
        <v>0</v>
      </c>
      <c r="H42" s="677">
        <f t="shared" si="8"/>
        <v>0</v>
      </c>
      <c r="I42" s="682">
        <f t="shared" si="1"/>
        <v>0</v>
      </c>
      <c r="J42" s="682"/>
      <c r="K42" s="130"/>
      <c r="L42" s="685">
        <f t="shared" si="2"/>
        <v>0</v>
      </c>
      <c r="M42" s="130"/>
      <c r="N42" s="685">
        <f t="shared" si="3"/>
        <v>0</v>
      </c>
      <c r="O42" s="685">
        <f t="shared" si="4"/>
        <v>0</v>
      </c>
      <c r="P42" s="652"/>
    </row>
    <row r="43" spans="2:16">
      <c r="B43" t="str">
        <f t="shared" si="0"/>
        <v/>
      </c>
      <c r="C43" s="678">
        <f>IF(D11="","-",+C42+1)</f>
        <v>2048</v>
      </c>
      <c r="D43" s="681">
        <f>IF(F42+SUM(E$17:E42)=D$10,F42,D$10-SUM(E$17:E42))</f>
        <v>0</v>
      </c>
      <c r="E43" s="69">
        <f t="shared" si="5"/>
        <v>0</v>
      </c>
      <c r="F43" s="681">
        <f t="shared" si="6"/>
        <v>0</v>
      </c>
      <c r="G43" s="686">
        <f t="shared" si="7"/>
        <v>0</v>
      </c>
      <c r="H43" s="677">
        <f t="shared" si="8"/>
        <v>0</v>
      </c>
      <c r="I43" s="682">
        <f t="shared" si="1"/>
        <v>0</v>
      </c>
      <c r="J43" s="682"/>
      <c r="K43" s="130"/>
      <c r="L43" s="685">
        <f t="shared" si="2"/>
        <v>0</v>
      </c>
      <c r="M43" s="130"/>
      <c r="N43" s="685">
        <f t="shared" si="3"/>
        <v>0</v>
      </c>
      <c r="O43" s="685">
        <f t="shared" si="4"/>
        <v>0</v>
      </c>
      <c r="P43" s="652"/>
    </row>
    <row r="44" spans="2:16">
      <c r="B44" t="str">
        <f t="shared" si="0"/>
        <v/>
      </c>
      <c r="C44" s="678">
        <f>IF(D11="","-",+C43+1)</f>
        <v>2049</v>
      </c>
      <c r="D44" s="681">
        <f>IF(F43+SUM(E$17:E43)=D$10,F43,D$10-SUM(E$17:E43))</f>
        <v>0</v>
      </c>
      <c r="E44" s="69">
        <f t="shared" si="5"/>
        <v>0</v>
      </c>
      <c r="F44" s="681">
        <f t="shared" si="6"/>
        <v>0</v>
      </c>
      <c r="G44" s="686">
        <f t="shared" si="7"/>
        <v>0</v>
      </c>
      <c r="H44" s="677">
        <f t="shared" si="8"/>
        <v>0</v>
      </c>
      <c r="I44" s="682">
        <f t="shared" si="1"/>
        <v>0</v>
      </c>
      <c r="J44" s="682"/>
      <c r="K44" s="130"/>
      <c r="L44" s="685">
        <f t="shared" si="2"/>
        <v>0</v>
      </c>
      <c r="M44" s="130"/>
      <c r="N44" s="685">
        <f t="shared" si="3"/>
        <v>0</v>
      </c>
      <c r="O44" s="685">
        <f t="shared" si="4"/>
        <v>0</v>
      </c>
      <c r="P44" s="652"/>
    </row>
    <row r="45" spans="2:16">
      <c r="B45" t="str">
        <f t="shared" si="0"/>
        <v/>
      </c>
      <c r="C45" s="678">
        <f>IF(D11="","-",+C44+1)</f>
        <v>2050</v>
      </c>
      <c r="D45" s="681">
        <f>IF(F44+SUM(E$17:E44)=D$10,F44,D$10-SUM(E$17:E44))</f>
        <v>0</v>
      </c>
      <c r="E45" s="69">
        <f t="shared" si="5"/>
        <v>0</v>
      </c>
      <c r="F45" s="681">
        <f t="shared" si="6"/>
        <v>0</v>
      </c>
      <c r="G45" s="686">
        <f t="shared" si="7"/>
        <v>0</v>
      </c>
      <c r="H45" s="677">
        <f t="shared" si="8"/>
        <v>0</v>
      </c>
      <c r="I45" s="682">
        <f t="shared" si="1"/>
        <v>0</v>
      </c>
      <c r="J45" s="682"/>
      <c r="K45" s="130"/>
      <c r="L45" s="685">
        <f t="shared" si="2"/>
        <v>0</v>
      </c>
      <c r="M45" s="130"/>
      <c r="N45" s="685">
        <f t="shared" si="3"/>
        <v>0</v>
      </c>
      <c r="O45" s="685">
        <f t="shared" si="4"/>
        <v>0</v>
      </c>
      <c r="P45" s="652"/>
    </row>
    <row r="46" spans="2:16">
      <c r="B46" t="str">
        <f t="shared" si="0"/>
        <v/>
      </c>
      <c r="C46" s="678">
        <f>IF(D11="","-",+C45+1)</f>
        <v>2051</v>
      </c>
      <c r="D46" s="681">
        <f>IF(F45+SUM(E$17:E45)=D$10,F45,D$10-SUM(E$17:E45))</f>
        <v>0</v>
      </c>
      <c r="E46" s="69">
        <f t="shared" si="5"/>
        <v>0</v>
      </c>
      <c r="F46" s="681">
        <f t="shared" si="6"/>
        <v>0</v>
      </c>
      <c r="G46" s="686">
        <f t="shared" si="7"/>
        <v>0</v>
      </c>
      <c r="H46" s="677">
        <f t="shared" si="8"/>
        <v>0</v>
      </c>
      <c r="I46" s="682">
        <f t="shared" si="1"/>
        <v>0</v>
      </c>
      <c r="J46" s="682"/>
      <c r="K46" s="130"/>
      <c r="L46" s="685">
        <f t="shared" si="2"/>
        <v>0</v>
      </c>
      <c r="M46" s="130"/>
      <c r="N46" s="685">
        <f t="shared" si="3"/>
        <v>0</v>
      </c>
      <c r="O46" s="685">
        <f t="shared" si="4"/>
        <v>0</v>
      </c>
      <c r="P46" s="652"/>
    </row>
    <row r="47" spans="2:16">
      <c r="B47" t="str">
        <f t="shared" si="0"/>
        <v/>
      </c>
      <c r="C47" s="678">
        <f>IF(D11="","-",+C46+1)</f>
        <v>2052</v>
      </c>
      <c r="D47" s="681">
        <f>IF(F46+SUM(E$17:E46)=D$10,F46,D$10-SUM(E$17:E46))</f>
        <v>0</v>
      </c>
      <c r="E47" s="69">
        <f t="shared" si="5"/>
        <v>0</v>
      </c>
      <c r="F47" s="681">
        <f t="shared" si="6"/>
        <v>0</v>
      </c>
      <c r="G47" s="686">
        <f t="shared" si="7"/>
        <v>0</v>
      </c>
      <c r="H47" s="677">
        <f t="shared" si="8"/>
        <v>0</v>
      </c>
      <c r="I47" s="682">
        <f t="shared" si="1"/>
        <v>0</v>
      </c>
      <c r="J47" s="682"/>
      <c r="K47" s="130"/>
      <c r="L47" s="685">
        <f t="shared" si="2"/>
        <v>0</v>
      </c>
      <c r="M47" s="130"/>
      <c r="N47" s="685">
        <f t="shared" si="3"/>
        <v>0</v>
      </c>
      <c r="O47" s="685">
        <f t="shared" si="4"/>
        <v>0</v>
      </c>
      <c r="P47" s="652"/>
    </row>
    <row r="48" spans="2:16">
      <c r="B48" t="str">
        <f t="shared" si="0"/>
        <v/>
      </c>
      <c r="C48" s="678">
        <f>IF(D11="","-",+C47+1)</f>
        <v>2053</v>
      </c>
      <c r="D48" s="681">
        <f>IF(F47+SUM(E$17:E47)=D$10,F47,D$10-SUM(E$17:E47))</f>
        <v>0</v>
      </c>
      <c r="E48" s="69">
        <f t="shared" si="5"/>
        <v>0</v>
      </c>
      <c r="F48" s="681">
        <f t="shared" si="6"/>
        <v>0</v>
      </c>
      <c r="G48" s="686">
        <f t="shared" si="7"/>
        <v>0</v>
      </c>
      <c r="H48" s="677">
        <f t="shared" si="8"/>
        <v>0</v>
      </c>
      <c r="I48" s="682">
        <f t="shared" si="1"/>
        <v>0</v>
      </c>
      <c r="J48" s="682"/>
      <c r="K48" s="130"/>
      <c r="L48" s="685">
        <f t="shared" si="2"/>
        <v>0</v>
      </c>
      <c r="M48" s="130"/>
      <c r="N48" s="685">
        <f t="shared" si="3"/>
        <v>0</v>
      </c>
      <c r="O48" s="685">
        <f t="shared" si="4"/>
        <v>0</v>
      </c>
      <c r="P48" s="652"/>
    </row>
    <row r="49" spans="2:16">
      <c r="B49" t="str">
        <f t="shared" si="0"/>
        <v/>
      </c>
      <c r="C49" s="678">
        <f>IF(D11="","-",+C48+1)</f>
        <v>2054</v>
      </c>
      <c r="D49" s="681">
        <f>IF(F48+SUM(E$17:E48)=D$10,F48,D$10-SUM(E$17:E48))</f>
        <v>0</v>
      </c>
      <c r="E49" s="69">
        <f t="shared" si="5"/>
        <v>0</v>
      </c>
      <c r="F49" s="681">
        <f t="shared" si="6"/>
        <v>0</v>
      </c>
      <c r="G49" s="686">
        <f t="shared" si="7"/>
        <v>0</v>
      </c>
      <c r="H49" s="677">
        <f t="shared" si="8"/>
        <v>0</v>
      </c>
      <c r="I49" s="682">
        <f t="shared" si="1"/>
        <v>0</v>
      </c>
      <c r="J49" s="682"/>
      <c r="K49" s="130"/>
      <c r="L49" s="685">
        <f t="shared" si="2"/>
        <v>0</v>
      </c>
      <c r="M49" s="130"/>
      <c r="N49" s="685">
        <f t="shared" si="3"/>
        <v>0</v>
      </c>
      <c r="O49" s="685">
        <f t="shared" si="4"/>
        <v>0</v>
      </c>
      <c r="P49" s="652"/>
    </row>
    <row r="50" spans="2:16">
      <c r="B50" t="str">
        <f t="shared" si="0"/>
        <v/>
      </c>
      <c r="C50" s="678">
        <f>IF(D11="","-",+C49+1)</f>
        <v>2055</v>
      </c>
      <c r="D50" s="681">
        <f>IF(F49+SUM(E$17:E49)=D$10,F49,D$10-SUM(E$17:E49))</f>
        <v>0</v>
      </c>
      <c r="E50" s="69">
        <f t="shared" si="5"/>
        <v>0</v>
      </c>
      <c r="F50" s="681">
        <f t="shared" si="6"/>
        <v>0</v>
      </c>
      <c r="G50" s="686">
        <f t="shared" si="7"/>
        <v>0</v>
      </c>
      <c r="H50" s="677">
        <f t="shared" si="8"/>
        <v>0</v>
      </c>
      <c r="I50" s="682">
        <f t="shared" si="1"/>
        <v>0</v>
      </c>
      <c r="J50" s="682"/>
      <c r="K50" s="130"/>
      <c r="L50" s="685">
        <f t="shared" si="2"/>
        <v>0</v>
      </c>
      <c r="M50" s="130"/>
      <c r="N50" s="685">
        <f t="shared" si="3"/>
        <v>0</v>
      </c>
      <c r="O50" s="685">
        <f t="shared" si="4"/>
        <v>0</v>
      </c>
      <c r="P50" s="652"/>
    </row>
    <row r="51" spans="2:16">
      <c r="B51" t="str">
        <f t="shared" si="0"/>
        <v/>
      </c>
      <c r="C51" s="678">
        <f>IF(D11="","-",+C50+1)</f>
        <v>2056</v>
      </c>
      <c r="D51" s="681">
        <f>IF(F50+SUM(E$17:E50)=D$10,F50,D$10-SUM(E$17:E50))</f>
        <v>0</v>
      </c>
      <c r="E51" s="69">
        <f t="shared" si="5"/>
        <v>0</v>
      </c>
      <c r="F51" s="681">
        <f t="shared" si="6"/>
        <v>0</v>
      </c>
      <c r="G51" s="686">
        <f t="shared" si="7"/>
        <v>0</v>
      </c>
      <c r="H51" s="677">
        <f t="shared" si="8"/>
        <v>0</v>
      </c>
      <c r="I51" s="682">
        <f t="shared" si="1"/>
        <v>0</v>
      </c>
      <c r="J51" s="682"/>
      <c r="K51" s="130"/>
      <c r="L51" s="685">
        <f t="shared" si="2"/>
        <v>0</v>
      </c>
      <c r="M51" s="130"/>
      <c r="N51" s="685">
        <f t="shared" si="3"/>
        <v>0</v>
      </c>
      <c r="O51" s="685">
        <f t="shared" si="4"/>
        <v>0</v>
      </c>
      <c r="P51" s="652"/>
    </row>
    <row r="52" spans="2:16">
      <c r="B52" t="str">
        <f t="shared" si="0"/>
        <v/>
      </c>
      <c r="C52" s="678">
        <f>IF(D11="","-",+C51+1)</f>
        <v>2057</v>
      </c>
      <c r="D52" s="681">
        <f>IF(F51+SUM(E$17:E51)=D$10,F51,D$10-SUM(E$17:E51))</f>
        <v>0</v>
      </c>
      <c r="E52" s="69">
        <f t="shared" si="5"/>
        <v>0</v>
      </c>
      <c r="F52" s="681">
        <f t="shared" si="6"/>
        <v>0</v>
      </c>
      <c r="G52" s="686">
        <f t="shared" si="7"/>
        <v>0</v>
      </c>
      <c r="H52" s="677">
        <f t="shared" si="8"/>
        <v>0</v>
      </c>
      <c r="I52" s="682">
        <f t="shared" si="1"/>
        <v>0</v>
      </c>
      <c r="J52" s="682"/>
      <c r="K52" s="130"/>
      <c r="L52" s="685">
        <f t="shared" si="2"/>
        <v>0</v>
      </c>
      <c r="M52" s="130"/>
      <c r="N52" s="685">
        <f t="shared" si="3"/>
        <v>0</v>
      </c>
      <c r="O52" s="685">
        <f t="shared" si="4"/>
        <v>0</v>
      </c>
      <c r="P52" s="652"/>
    </row>
    <row r="53" spans="2:16">
      <c r="B53" t="str">
        <f t="shared" si="0"/>
        <v/>
      </c>
      <c r="C53" s="678">
        <f>IF(D11="","-",+C52+1)</f>
        <v>2058</v>
      </c>
      <c r="D53" s="681">
        <f>IF(F52+SUM(E$17:E52)=D$10,F52,D$10-SUM(E$17:E52))</f>
        <v>0</v>
      </c>
      <c r="E53" s="69">
        <f t="shared" si="5"/>
        <v>0</v>
      </c>
      <c r="F53" s="681">
        <f t="shared" si="6"/>
        <v>0</v>
      </c>
      <c r="G53" s="686">
        <f t="shared" si="7"/>
        <v>0</v>
      </c>
      <c r="H53" s="677">
        <f t="shared" si="8"/>
        <v>0</v>
      </c>
      <c r="I53" s="682">
        <f t="shared" si="1"/>
        <v>0</v>
      </c>
      <c r="J53" s="682"/>
      <c r="K53" s="130"/>
      <c r="L53" s="685">
        <f t="shared" si="2"/>
        <v>0</v>
      </c>
      <c r="M53" s="130"/>
      <c r="N53" s="685">
        <f t="shared" si="3"/>
        <v>0</v>
      </c>
      <c r="O53" s="685">
        <f t="shared" si="4"/>
        <v>0</v>
      </c>
      <c r="P53" s="652"/>
    </row>
    <row r="54" spans="2:16">
      <c r="B54" t="str">
        <f t="shared" si="0"/>
        <v/>
      </c>
      <c r="C54" s="678">
        <f>IF(D11="","-",+C53+1)</f>
        <v>2059</v>
      </c>
      <c r="D54" s="681">
        <f>IF(F53+SUM(E$17:E53)=D$10,F53,D$10-SUM(E$17:E53))</f>
        <v>0</v>
      </c>
      <c r="E54" s="69">
        <f t="shared" si="5"/>
        <v>0</v>
      </c>
      <c r="F54" s="681">
        <f t="shared" si="6"/>
        <v>0</v>
      </c>
      <c r="G54" s="686">
        <f t="shared" si="7"/>
        <v>0</v>
      </c>
      <c r="H54" s="677">
        <f t="shared" si="8"/>
        <v>0</v>
      </c>
      <c r="I54" s="682">
        <f t="shared" si="1"/>
        <v>0</v>
      </c>
      <c r="J54" s="682"/>
      <c r="K54" s="130"/>
      <c r="L54" s="685">
        <f t="shared" si="2"/>
        <v>0</v>
      </c>
      <c r="M54" s="130"/>
      <c r="N54" s="685">
        <f t="shared" si="3"/>
        <v>0</v>
      </c>
      <c r="O54" s="685">
        <f t="shared" si="4"/>
        <v>0</v>
      </c>
      <c r="P54" s="652"/>
    </row>
    <row r="55" spans="2:16">
      <c r="B55" t="str">
        <f t="shared" si="0"/>
        <v/>
      </c>
      <c r="C55" s="678">
        <f>IF(D11="","-",+C54+1)</f>
        <v>2060</v>
      </c>
      <c r="D55" s="681">
        <f>IF(F54+SUM(E$17:E54)=D$10,F54,D$10-SUM(E$17:E54))</f>
        <v>0</v>
      </c>
      <c r="E55" s="69">
        <f t="shared" si="5"/>
        <v>0</v>
      </c>
      <c r="F55" s="681">
        <f t="shared" si="6"/>
        <v>0</v>
      </c>
      <c r="G55" s="686">
        <f t="shared" si="7"/>
        <v>0</v>
      </c>
      <c r="H55" s="677">
        <f t="shared" si="8"/>
        <v>0</v>
      </c>
      <c r="I55" s="682">
        <f t="shared" si="1"/>
        <v>0</v>
      </c>
      <c r="J55" s="682"/>
      <c r="K55" s="130"/>
      <c r="L55" s="685">
        <f t="shared" si="2"/>
        <v>0</v>
      </c>
      <c r="M55" s="130"/>
      <c r="N55" s="685">
        <f t="shared" si="3"/>
        <v>0</v>
      </c>
      <c r="O55" s="685">
        <f t="shared" si="4"/>
        <v>0</v>
      </c>
      <c r="P55" s="652"/>
    </row>
    <row r="56" spans="2:16">
      <c r="B56" t="str">
        <f t="shared" si="0"/>
        <v/>
      </c>
      <c r="C56" s="678">
        <f>IF(D11="","-",+C55+1)</f>
        <v>2061</v>
      </c>
      <c r="D56" s="681">
        <f>IF(F55+SUM(E$17:E55)=D$10,F55,D$10-SUM(E$17:E55))</f>
        <v>0</v>
      </c>
      <c r="E56" s="69">
        <f t="shared" si="5"/>
        <v>0</v>
      </c>
      <c r="F56" s="681">
        <f t="shared" si="6"/>
        <v>0</v>
      </c>
      <c r="G56" s="686">
        <f t="shared" si="7"/>
        <v>0</v>
      </c>
      <c r="H56" s="677">
        <f t="shared" si="8"/>
        <v>0</v>
      </c>
      <c r="I56" s="682">
        <f t="shared" si="1"/>
        <v>0</v>
      </c>
      <c r="J56" s="682"/>
      <c r="K56" s="130"/>
      <c r="L56" s="685">
        <f t="shared" si="2"/>
        <v>0</v>
      </c>
      <c r="M56" s="130"/>
      <c r="N56" s="685">
        <f t="shared" si="3"/>
        <v>0</v>
      </c>
      <c r="O56" s="685">
        <f t="shared" si="4"/>
        <v>0</v>
      </c>
      <c r="P56" s="652"/>
    </row>
    <row r="57" spans="2:16">
      <c r="B57" t="str">
        <f t="shared" si="0"/>
        <v/>
      </c>
      <c r="C57" s="678">
        <f>IF(D11="","-",+C56+1)</f>
        <v>2062</v>
      </c>
      <c r="D57" s="681">
        <f>IF(F56+SUM(E$17:E56)=D$10,F56,D$10-SUM(E$17:E56))</f>
        <v>0</v>
      </c>
      <c r="E57" s="69">
        <f t="shared" si="5"/>
        <v>0</v>
      </c>
      <c r="F57" s="681">
        <f t="shared" si="6"/>
        <v>0</v>
      </c>
      <c r="G57" s="686">
        <f t="shared" si="7"/>
        <v>0</v>
      </c>
      <c r="H57" s="677">
        <f t="shared" si="8"/>
        <v>0</v>
      </c>
      <c r="I57" s="682">
        <f t="shared" si="1"/>
        <v>0</v>
      </c>
      <c r="J57" s="682"/>
      <c r="K57" s="130"/>
      <c r="L57" s="685">
        <f t="shared" si="2"/>
        <v>0</v>
      </c>
      <c r="M57" s="130"/>
      <c r="N57" s="685">
        <f t="shared" si="3"/>
        <v>0</v>
      </c>
      <c r="O57" s="685">
        <f t="shared" si="4"/>
        <v>0</v>
      </c>
      <c r="P57" s="652"/>
    </row>
    <row r="58" spans="2:16">
      <c r="B58" t="str">
        <f t="shared" si="0"/>
        <v/>
      </c>
      <c r="C58" s="678">
        <f>IF(D11="","-",+C57+1)</f>
        <v>2063</v>
      </c>
      <c r="D58" s="681">
        <f>IF(F57+SUM(E$17:E57)=D$10,F57,D$10-SUM(E$17:E57))</f>
        <v>0</v>
      </c>
      <c r="E58" s="69">
        <f t="shared" si="5"/>
        <v>0</v>
      </c>
      <c r="F58" s="681">
        <f t="shared" si="6"/>
        <v>0</v>
      </c>
      <c r="G58" s="686">
        <f t="shared" si="7"/>
        <v>0</v>
      </c>
      <c r="H58" s="677">
        <f t="shared" si="8"/>
        <v>0</v>
      </c>
      <c r="I58" s="682">
        <f t="shared" si="1"/>
        <v>0</v>
      </c>
      <c r="J58" s="682"/>
      <c r="K58" s="130"/>
      <c r="L58" s="685">
        <f t="shared" si="2"/>
        <v>0</v>
      </c>
      <c r="M58" s="130"/>
      <c r="N58" s="685">
        <f t="shared" si="3"/>
        <v>0</v>
      </c>
      <c r="O58" s="685">
        <f t="shared" si="4"/>
        <v>0</v>
      </c>
      <c r="P58" s="652"/>
    </row>
    <row r="59" spans="2:16">
      <c r="B59" t="str">
        <f t="shared" si="0"/>
        <v/>
      </c>
      <c r="C59" s="678">
        <f>IF(D11="","-",+C58+1)</f>
        <v>2064</v>
      </c>
      <c r="D59" s="681">
        <f>IF(F58+SUM(E$17:E58)=D$10,F58,D$10-SUM(E$17:E58))</f>
        <v>0</v>
      </c>
      <c r="E59" s="69">
        <f t="shared" si="5"/>
        <v>0</v>
      </c>
      <c r="F59" s="681">
        <f t="shared" si="6"/>
        <v>0</v>
      </c>
      <c r="G59" s="686">
        <f t="shared" si="7"/>
        <v>0</v>
      </c>
      <c r="H59" s="677">
        <f t="shared" si="8"/>
        <v>0</v>
      </c>
      <c r="I59" s="682">
        <f t="shared" si="1"/>
        <v>0</v>
      </c>
      <c r="J59" s="682"/>
      <c r="K59" s="130"/>
      <c r="L59" s="685">
        <f t="shared" si="2"/>
        <v>0</v>
      </c>
      <c r="M59" s="130"/>
      <c r="N59" s="685">
        <f t="shared" si="3"/>
        <v>0</v>
      </c>
      <c r="O59" s="685">
        <f t="shared" si="4"/>
        <v>0</v>
      </c>
      <c r="P59" s="652"/>
    </row>
    <row r="60" spans="2:16">
      <c r="B60" t="str">
        <f t="shared" si="0"/>
        <v/>
      </c>
      <c r="C60" s="678">
        <f>IF(D11="","-",+C59+1)</f>
        <v>2065</v>
      </c>
      <c r="D60" s="681">
        <f>IF(F59+SUM(E$17:E59)=D$10,F59,D$10-SUM(E$17:E59))</f>
        <v>0</v>
      </c>
      <c r="E60" s="69">
        <f t="shared" si="5"/>
        <v>0</v>
      </c>
      <c r="F60" s="681">
        <f t="shared" si="6"/>
        <v>0</v>
      </c>
      <c r="G60" s="686">
        <f t="shared" si="7"/>
        <v>0</v>
      </c>
      <c r="H60" s="677">
        <f t="shared" si="8"/>
        <v>0</v>
      </c>
      <c r="I60" s="682">
        <f t="shared" si="1"/>
        <v>0</v>
      </c>
      <c r="J60" s="682"/>
      <c r="K60" s="130"/>
      <c r="L60" s="685">
        <f t="shared" si="2"/>
        <v>0</v>
      </c>
      <c r="M60" s="130"/>
      <c r="N60" s="685">
        <f t="shared" si="3"/>
        <v>0</v>
      </c>
      <c r="O60" s="685">
        <f t="shared" si="4"/>
        <v>0</v>
      </c>
      <c r="P60" s="652"/>
    </row>
    <row r="61" spans="2:16">
      <c r="B61" t="str">
        <f t="shared" si="0"/>
        <v/>
      </c>
      <c r="C61" s="678">
        <f>IF(D11="","-",+C60+1)</f>
        <v>2066</v>
      </c>
      <c r="D61" s="681">
        <f>IF(F60+SUM(E$17:E60)=D$10,F60,D$10-SUM(E$17:E60))</f>
        <v>0</v>
      </c>
      <c r="E61" s="69">
        <f t="shared" si="5"/>
        <v>0</v>
      </c>
      <c r="F61" s="681">
        <f t="shared" si="6"/>
        <v>0</v>
      </c>
      <c r="G61" s="687">
        <f t="shared" si="7"/>
        <v>0</v>
      </c>
      <c r="H61" s="677">
        <f t="shared" si="8"/>
        <v>0</v>
      </c>
      <c r="I61" s="682">
        <f t="shared" si="1"/>
        <v>0</v>
      </c>
      <c r="J61" s="682"/>
      <c r="K61" s="130"/>
      <c r="L61" s="685">
        <f t="shared" si="2"/>
        <v>0</v>
      </c>
      <c r="M61" s="130"/>
      <c r="N61" s="685">
        <f t="shared" si="3"/>
        <v>0</v>
      </c>
      <c r="O61" s="685">
        <f t="shared" si="4"/>
        <v>0</v>
      </c>
      <c r="P61" s="652"/>
    </row>
    <row r="62" spans="2:16">
      <c r="B62" t="str">
        <f t="shared" si="0"/>
        <v/>
      </c>
      <c r="C62" s="678">
        <f>IF(D11="","-",+C61+1)</f>
        <v>2067</v>
      </c>
      <c r="D62" s="681">
        <f>IF(F61+SUM(E$17:E61)=D$10,F61,D$10-SUM(E$17:E61))</f>
        <v>0</v>
      </c>
      <c r="E62" s="69">
        <f t="shared" si="5"/>
        <v>0</v>
      </c>
      <c r="F62" s="681">
        <f t="shared" si="6"/>
        <v>0</v>
      </c>
      <c r="G62" s="687">
        <f t="shared" si="7"/>
        <v>0</v>
      </c>
      <c r="H62" s="677">
        <f t="shared" si="8"/>
        <v>0</v>
      </c>
      <c r="I62" s="682">
        <f t="shared" si="1"/>
        <v>0</v>
      </c>
      <c r="J62" s="682"/>
      <c r="K62" s="130"/>
      <c r="L62" s="685">
        <f t="shared" si="2"/>
        <v>0</v>
      </c>
      <c r="M62" s="130"/>
      <c r="N62" s="685">
        <f t="shared" si="3"/>
        <v>0</v>
      </c>
      <c r="O62" s="685">
        <f t="shared" si="4"/>
        <v>0</v>
      </c>
      <c r="P62" s="652"/>
    </row>
    <row r="63" spans="2:16">
      <c r="B63" t="str">
        <f t="shared" si="0"/>
        <v/>
      </c>
      <c r="C63" s="678">
        <f>IF(D11="","-",+C62+1)</f>
        <v>2068</v>
      </c>
      <c r="D63" s="681">
        <f>IF(F62+SUM(E$17:E62)=D$10,F62,D$10-SUM(E$17:E62))</f>
        <v>0</v>
      </c>
      <c r="E63" s="69">
        <f t="shared" si="5"/>
        <v>0</v>
      </c>
      <c r="F63" s="681">
        <f t="shared" si="6"/>
        <v>0</v>
      </c>
      <c r="G63" s="687">
        <f t="shared" si="7"/>
        <v>0</v>
      </c>
      <c r="H63" s="677">
        <f t="shared" si="8"/>
        <v>0</v>
      </c>
      <c r="I63" s="682">
        <f t="shared" si="1"/>
        <v>0</v>
      </c>
      <c r="J63" s="682"/>
      <c r="K63" s="130"/>
      <c r="L63" s="685">
        <f t="shared" si="2"/>
        <v>0</v>
      </c>
      <c r="M63" s="130"/>
      <c r="N63" s="685">
        <f t="shared" si="3"/>
        <v>0</v>
      </c>
      <c r="O63" s="685">
        <f t="shared" si="4"/>
        <v>0</v>
      </c>
      <c r="P63" s="652"/>
    </row>
    <row r="64" spans="2:16">
      <c r="B64" t="str">
        <f t="shared" si="0"/>
        <v/>
      </c>
      <c r="C64" s="678">
        <f>IF(D11="","-",+C63+1)</f>
        <v>2069</v>
      </c>
      <c r="D64" s="681">
        <f>IF(F63+SUM(E$17:E63)=D$10,F63,D$10-SUM(E$17:E63))</f>
        <v>0</v>
      </c>
      <c r="E64" s="69">
        <f t="shared" si="5"/>
        <v>0</v>
      </c>
      <c r="F64" s="681">
        <f t="shared" si="6"/>
        <v>0</v>
      </c>
      <c r="G64" s="687">
        <f t="shared" si="7"/>
        <v>0</v>
      </c>
      <c r="H64" s="677">
        <f t="shared" si="8"/>
        <v>0</v>
      </c>
      <c r="I64" s="682">
        <f t="shared" si="1"/>
        <v>0</v>
      </c>
      <c r="J64" s="682"/>
      <c r="K64" s="130"/>
      <c r="L64" s="685">
        <f t="shared" si="2"/>
        <v>0</v>
      </c>
      <c r="M64" s="130"/>
      <c r="N64" s="685">
        <f t="shared" si="3"/>
        <v>0</v>
      </c>
      <c r="O64" s="685">
        <f t="shared" si="4"/>
        <v>0</v>
      </c>
      <c r="P64" s="652"/>
    </row>
    <row r="65" spans="2:16">
      <c r="B65" t="str">
        <f t="shared" si="0"/>
        <v/>
      </c>
      <c r="C65" s="678">
        <f>IF(D11="","-",+C64+1)</f>
        <v>2070</v>
      </c>
      <c r="D65" s="681">
        <f>IF(F64+SUM(E$17:E64)=D$10,F64,D$10-SUM(E$17:E64))</f>
        <v>0</v>
      </c>
      <c r="E65" s="69">
        <f t="shared" si="5"/>
        <v>0</v>
      </c>
      <c r="F65" s="681">
        <f t="shared" si="6"/>
        <v>0</v>
      </c>
      <c r="G65" s="687">
        <f t="shared" si="7"/>
        <v>0</v>
      </c>
      <c r="H65" s="677">
        <f t="shared" si="8"/>
        <v>0</v>
      </c>
      <c r="I65" s="682">
        <f t="shared" si="1"/>
        <v>0</v>
      </c>
      <c r="J65" s="682"/>
      <c r="K65" s="130"/>
      <c r="L65" s="685">
        <f t="shared" si="2"/>
        <v>0</v>
      </c>
      <c r="M65" s="130"/>
      <c r="N65" s="685">
        <f t="shared" si="3"/>
        <v>0</v>
      </c>
      <c r="O65" s="685">
        <f t="shared" si="4"/>
        <v>0</v>
      </c>
      <c r="P65" s="652"/>
    </row>
    <row r="66" spans="2:16">
      <c r="B66" t="str">
        <f t="shared" si="0"/>
        <v/>
      </c>
      <c r="C66" s="678">
        <f>IF(D11="","-",+C65+1)</f>
        <v>2071</v>
      </c>
      <c r="D66" s="681">
        <f>IF(F65+SUM(E$17:E65)=D$10,F65,D$10-SUM(E$17:E65))</f>
        <v>0</v>
      </c>
      <c r="E66" s="69">
        <f t="shared" si="5"/>
        <v>0</v>
      </c>
      <c r="F66" s="681">
        <f t="shared" si="6"/>
        <v>0</v>
      </c>
      <c r="G66" s="687">
        <f t="shared" si="7"/>
        <v>0</v>
      </c>
      <c r="H66" s="677">
        <f t="shared" si="8"/>
        <v>0</v>
      </c>
      <c r="I66" s="682">
        <f t="shared" si="1"/>
        <v>0</v>
      </c>
      <c r="J66" s="682"/>
      <c r="K66" s="130"/>
      <c r="L66" s="685">
        <f t="shared" si="2"/>
        <v>0</v>
      </c>
      <c r="M66" s="130"/>
      <c r="N66" s="685">
        <f t="shared" si="3"/>
        <v>0</v>
      </c>
      <c r="O66" s="685">
        <f t="shared" si="4"/>
        <v>0</v>
      </c>
      <c r="P66" s="652"/>
    </row>
    <row r="67" spans="2:16">
      <c r="B67" t="str">
        <f t="shared" si="0"/>
        <v/>
      </c>
      <c r="C67" s="678">
        <f>IF(D11="","-",+C66+1)</f>
        <v>2072</v>
      </c>
      <c r="D67" s="681">
        <f>IF(F66+SUM(E$17:E66)=D$10,F66,D$10-SUM(E$17:E66))</f>
        <v>0</v>
      </c>
      <c r="E67" s="69">
        <f t="shared" si="5"/>
        <v>0</v>
      </c>
      <c r="F67" s="681">
        <f t="shared" si="6"/>
        <v>0</v>
      </c>
      <c r="G67" s="687">
        <f t="shared" si="7"/>
        <v>0</v>
      </c>
      <c r="H67" s="677">
        <f t="shared" si="8"/>
        <v>0</v>
      </c>
      <c r="I67" s="682">
        <f t="shared" si="1"/>
        <v>0</v>
      </c>
      <c r="J67" s="682"/>
      <c r="K67" s="130"/>
      <c r="L67" s="685">
        <f t="shared" si="2"/>
        <v>0</v>
      </c>
      <c r="M67" s="130"/>
      <c r="N67" s="685">
        <f t="shared" si="3"/>
        <v>0</v>
      </c>
      <c r="O67" s="685">
        <f t="shared" si="4"/>
        <v>0</v>
      </c>
      <c r="P67" s="652"/>
    </row>
    <row r="68" spans="2:16">
      <c r="B68" t="str">
        <f t="shared" si="0"/>
        <v/>
      </c>
      <c r="C68" s="678">
        <f>IF(D11="","-",+C67+1)</f>
        <v>2073</v>
      </c>
      <c r="D68" s="681">
        <f>IF(F67+SUM(E$17:E67)=D$10,F67,D$10-SUM(E$17:E67))</f>
        <v>0</v>
      </c>
      <c r="E68" s="69">
        <f t="shared" si="5"/>
        <v>0</v>
      </c>
      <c r="F68" s="681">
        <f t="shared" si="6"/>
        <v>0</v>
      </c>
      <c r="G68" s="687">
        <f t="shared" si="7"/>
        <v>0</v>
      </c>
      <c r="H68" s="677">
        <f t="shared" si="8"/>
        <v>0</v>
      </c>
      <c r="I68" s="682">
        <f t="shared" si="1"/>
        <v>0</v>
      </c>
      <c r="J68" s="682"/>
      <c r="K68" s="130"/>
      <c r="L68" s="685">
        <f t="shared" si="2"/>
        <v>0</v>
      </c>
      <c r="M68" s="130"/>
      <c r="N68" s="685">
        <f t="shared" si="3"/>
        <v>0</v>
      </c>
      <c r="O68" s="685">
        <f t="shared" si="4"/>
        <v>0</v>
      </c>
      <c r="P68" s="652"/>
    </row>
    <row r="69" spans="2:16">
      <c r="B69" t="str">
        <f t="shared" si="0"/>
        <v/>
      </c>
      <c r="C69" s="678">
        <f>IF(D11="","-",+C68+1)</f>
        <v>2074</v>
      </c>
      <c r="D69" s="681">
        <f>IF(F68+SUM(E$17:E68)=D$10,F68,D$10-SUM(E$17:E68))</f>
        <v>0</v>
      </c>
      <c r="E69" s="69">
        <f t="shared" si="5"/>
        <v>0</v>
      </c>
      <c r="F69" s="681">
        <f t="shared" si="6"/>
        <v>0</v>
      </c>
      <c r="G69" s="687">
        <f t="shared" si="7"/>
        <v>0</v>
      </c>
      <c r="H69" s="677">
        <f t="shared" si="8"/>
        <v>0</v>
      </c>
      <c r="I69" s="682">
        <f t="shared" si="1"/>
        <v>0</v>
      </c>
      <c r="J69" s="682"/>
      <c r="K69" s="130"/>
      <c r="L69" s="685">
        <f t="shared" si="2"/>
        <v>0</v>
      </c>
      <c r="M69" s="130"/>
      <c r="N69" s="685">
        <f t="shared" si="3"/>
        <v>0</v>
      </c>
      <c r="O69" s="685">
        <f t="shared" si="4"/>
        <v>0</v>
      </c>
      <c r="P69" s="652"/>
    </row>
    <row r="70" spans="2:16">
      <c r="B70" t="str">
        <f t="shared" si="0"/>
        <v/>
      </c>
      <c r="C70" s="678">
        <f>IF(D11="","-",+C69+1)</f>
        <v>2075</v>
      </c>
      <c r="D70" s="681">
        <f>IF(F69+SUM(E$17:E69)=D$10,F69,D$10-SUM(E$17:E69))</f>
        <v>0</v>
      </c>
      <c r="E70" s="69">
        <f t="shared" si="5"/>
        <v>0</v>
      </c>
      <c r="F70" s="681">
        <f t="shared" si="6"/>
        <v>0</v>
      </c>
      <c r="G70" s="687">
        <f t="shared" si="7"/>
        <v>0</v>
      </c>
      <c r="H70" s="677">
        <f t="shared" si="8"/>
        <v>0</v>
      </c>
      <c r="I70" s="682">
        <f t="shared" si="1"/>
        <v>0</v>
      </c>
      <c r="J70" s="682"/>
      <c r="K70" s="130"/>
      <c r="L70" s="685">
        <f t="shared" si="2"/>
        <v>0</v>
      </c>
      <c r="M70" s="130"/>
      <c r="N70" s="685">
        <f t="shared" si="3"/>
        <v>0</v>
      </c>
      <c r="O70" s="685">
        <f t="shared" si="4"/>
        <v>0</v>
      </c>
      <c r="P70" s="652"/>
    </row>
    <row r="71" spans="2:16">
      <c r="B71" t="str">
        <f t="shared" si="0"/>
        <v/>
      </c>
      <c r="C71" s="678">
        <f>IF(D11="","-",+C70+1)</f>
        <v>2076</v>
      </c>
      <c r="D71" s="681">
        <f>IF(F70+SUM(E$17:E70)=D$10,F70,D$10-SUM(E$17:E70))</f>
        <v>0</v>
      </c>
      <c r="E71" s="69">
        <f t="shared" si="5"/>
        <v>0</v>
      </c>
      <c r="F71" s="681">
        <f t="shared" si="6"/>
        <v>0</v>
      </c>
      <c r="G71" s="687">
        <f t="shared" si="7"/>
        <v>0</v>
      </c>
      <c r="H71" s="677">
        <f t="shared" si="8"/>
        <v>0</v>
      </c>
      <c r="I71" s="682">
        <f t="shared" si="1"/>
        <v>0</v>
      </c>
      <c r="J71" s="682"/>
      <c r="K71" s="130"/>
      <c r="L71" s="685">
        <f t="shared" si="2"/>
        <v>0</v>
      </c>
      <c r="M71" s="130"/>
      <c r="N71" s="685">
        <f t="shared" si="3"/>
        <v>0</v>
      </c>
      <c r="O71" s="685">
        <f t="shared" si="4"/>
        <v>0</v>
      </c>
      <c r="P71" s="652"/>
    </row>
    <row r="72" spans="2:16">
      <c r="C72" s="678">
        <f>IF(D12="","-",+C71+1)</f>
        <v>2077</v>
      </c>
      <c r="D72" s="681">
        <f>IF(F71+SUM(E$17:E71)=D$10,F71,D$10-SUM(E$17:E71))</f>
        <v>0</v>
      </c>
      <c r="E72" s="69">
        <f>IF(+I$14&lt;F71,I$14,D72)</f>
        <v>0</v>
      </c>
      <c r="F72" s="681">
        <f>+D72-E72</f>
        <v>0</v>
      </c>
      <c r="G72" s="687">
        <f>(D72+F72)/2*I$12+E72</f>
        <v>0</v>
      </c>
      <c r="H72" s="677">
        <f>+(D72+F72)/2*I$13+E72</f>
        <v>0</v>
      </c>
      <c r="I72" s="682">
        <f>H72-G72</f>
        <v>0</v>
      </c>
      <c r="J72" s="682"/>
      <c r="K72" s="130"/>
      <c r="L72" s="685">
        <f>IF(K72&lt;&gt;0,+G72-K72,0)</f>
        <v>0</v>
      </c>
      <c r="M72" s="130"/>
      <c r="N72" s="685">
        <f>IF(M72&lt;&gt;0,+H72-M72,0)</f>
        <v>0</v>
      </c>
      <c r="O72" s="685">
        <f>+N72-L72</f>
        <v>0</v>
      </c>
      <c r="P72" s="652"/>
    </row>
    <row r="73" spans="2:16" ht="13" thickBot="1">
      <c r="B73" t="str">
        <f>IF(D73=F71,"","IU")</f>
        <v/>
      </c>
      <c r="C73" s="688">
        <f>IF(D13="","-",+C72+1)</f>
        <v>2078</v>
      </c>
      <c r="D73" s="75">
        <f>IF(F72+SUM(E$17:E72)=D$10,F72,D$10-SUM(E$17:E72))</f>
        <v>0</v>
      </c>
      <c r="E73" s="75">
        <f>IF(+I$14&lt;F72,I$14,D73)</f>
        <v>0</v>
      </c>
      <c r="F73" s="689">
        <f>+D73-E73</f>
        <v>0</v>
      </c>
      <c r="G73" s="690">
        <f>(D73+F73)/2*I$12+E73</f>
        <v>0</v>
      </c>
      <c r="H73" s="664">
        <f>+(D73+F73)/2*I$13+E73</f>
        <v>0</v>
      </c>
      <c r="I73" s="691">
        <f>H73-G73</f>
        <v>0</v>
      </c>
      <c r="J73" s="682"/>
      <c r="K73" s="131"/>
      <c r="L73" s="692">
        <f>IF(K73&lt;&gt;0,+G73-K73,0)</f>
        <v>0</v>
      </c>
      <c r="M73" s="131"/>
      <c r="N73" s="692">
        <f>IF(M73&lt;&gt;0,+H73-M73,0)</f>
        <v>0</v>
      </c>
      <c r="O73" s="692">
        <f>+N73-L73</f>
        <v>0</v>
      </c>
      <c r="P73" s="652"/>
    </row>
    <row r="74" spans="2:16">
      <c r="C74" s="679" t="s">
        <v>75</v>
      </c>
      <c r="D74" s="659"/>
      <c r="E74" s="659">
        <f>SUM(E17:E73)</f>
        <v>0</v>
      </c>
      <c r="F74" s="659"/>
      <c r="G74" s="659">
        <f>SUM(G17:G73)</f>
        <v>0</v>
      </c>
      <c r="H74" s="659">
        <f>SUM(H17:H73)</f>
        <v>0</v>
      </c>
      <c r="I74" s="659">
        <f>SUM(I17:I73)</f>
        <v>0</v>
      </c>
      <c r="J74" s="659"/>
      <c r="K74" s="659"/>
      <c r="L74" s="659"/>
      <c r="M74" s="659"/>
      <c r="N74" s="659"/>
      <c r="O74" s="652"/>
      <c r="P74" s="652"/>
    </row>
    <row r="75" spans="2:16">
      <c r="D75" s="653"/>
      <c r="E75" s="652"/>
      <c r="F75" s="652"/>
      <c r="G75" s="652"/>
      <c r="H75" s="655"/>
      <c r="I75" s="655"/>
      <c r="J75" s="659"/>
      <c r="K75" s="655"/>
      <c r="L75" s="655"/>
      <c r="M75" s="655"/>
      <c r="N75" s="655"/>
      <c r="O75" s="652"/>
      <c r="P75" s="652"/>
    </row>
    <row r="76" spans="2:16" ht="13">
      <c r="C76" s="665" t="s">
        <v>95</v>
      </c>
      <c r="D76" s="653"/>
      <c r="E76" s="652"/>
      <c r="F76" s="652"/>
      <c r="G76" s="652"/>
      <c r="H76" s="655"/>
      <c r="I76" s="655"/>
      <c r="J76" s="659"/>
      <c r="K76" s="655"/>
      <c r="L76" s="655"/>
      <c r="M76" s="655"/>
      <c r="N76" s="655"/>
      <c r="O76" s="652"/>
      <c r="P76" s="652"/>
    </row>
    <row r="77" spans="2:16" ht="13">
      <c r="C77" s="662" t="s">
        <v>76</v>
      </c>
      <c r="D77" s="653"/>
      <c r="E77" s="652"/>
      <c r="F77" s="652"/>
      <c r="G77" s="652"/>
      <c r="H77" s="655"/>
      <c r="I77" s="655"/>
      <c r="J77" s="659"/>
      <c r="K77" s="655"/>
      <c r="L77" s="655"/>
      <c r="M77" s="655"/>
      <c r="N77" s="655"/>
      <c r="O77" s="652"/>
      <c r="P77" s="652"/>
    </row>
    <row r="78" spans="2:16" ht="13">
      <c r="C78" s="662" t="s">
        <v>77</v>
      </c>
      <c r="D78" s="679"/>
      <c r="E78" s="679"/>
      <c r="F78" s="679"/>
      <c r="G78" s="659"/>
      <c r="H78" s="659"/>
      <c r="I78" s="693"/>
      <c r="J78" s="693"/>
      <c r="K78" s="693"/>
      <c r="L78" s="693"/>
      <c r="M78" s="693"/>
      <c r="N78" s="693"/>
      <c r="O78" s="652"/>
      <c r="P78" s="652"/>
    </row>
    <row r="79" spans="2:16" ht="13">
      <c r="C79" s="662"/>
      <c r="D79" s="679"/>
      <c r="E79" s="679"/>
      <c r="F79" s="679"/>
      <c r="G79" s="659"/>
      <c r="H79" s="659"/>
      <c r="I79" s="693"/>
      <c r="J79" s="693"/>
      <c r="K79" s="693"/>
      <c r="L79" s="693"/>
      <c r="M79" s="693"/>
      <c r="N79" s="693"/>
      <c r="O79" s="652"/>
      <c r="P79" s="652"/>
    </row>
    <row r="80" spans="2:16">
      <c r="B80" s="652"/>
      <c r="C80" s="652"/>
      <c r="D80" s="653"/>
      <c r="E80" s="652"/>
      <c r="F80" s="679"/>
      <c r="G80" s="652"/>
      <c r="H80" s="655"/>
      <c r="I80" s="652"/>
      <c r="J80" s="652"/>
      <c r="K80" s="652"/>
      <c r="L80" s="652"/>
      <c r="M80" s="652"/>
      <c r="N80" s="652"/>
      <c r="O80" s="652"/>
      <c r="P80" s="652"/>
    </row>
    <row r="81" spans="1:16" ht="17.5">
      <c r="B81" s="652"/>
      <c r="C81" s="694"/>
      <c r="D81" s="653"/>
      <c r="E81" s="652"/>
      <c r="F81" s="679"/>
      <c r="G81" s="652"/>
      <c r="H81" s="655"/>
      <c r="I81" s="652"/>
      <c r="J81" s="652"/>
      <c r="K81" s="652"/>
      <c r="L81" s="652"/>
      <c r="M81" s="652"/>
      <c r="N81" s="652"/>
      <c r="P81" s="111" t="s">
        <v>128</v>
      </c>
    </row>
    <row r="82" spans="1:16">
      <c r="B82" s="652"/>
      <c r="C82" s="652"/>
      <c r="D82" s="653"/>
      <c r="E82" s="652"/>
      <c r="F82" s="679"/>
      <c r="G82" s="652"/>
      <c r="H82" s="655"/>
      <c r="I82" s="652"/>
      <c r="J82" s="652"/>
      <c r="K82" s="652"/>
      <c r="L82" s="652"/>
      <c r="M82" s="652"/>
      <c r="N82" s="652"/>
      <c r="O82" s="652"/>
      <c r="P82" s="652"/>
    </row>
    <row r="83" spans="1:16">
      <c r="B83" s="652"/>
      <c r="C83" s="652"/>
      <c r="D83" s="653"/>
      <c r="E83" s="652"/>
      <c r="F83" s="679"/>
      <c r="G83" s="652"/>
      <c r="H83" s="655"/>
      <c r="I83" s="652"/>
      <c r="J83" s="652"/>
      <c r="K83" s="652"/>
      <c r="L83" s="652"/>
      <c r="M83" s="652"/>
      <c r="N83" s="652"/>
      <c r="O83" s="652"/>
      <c r="P83" s="652"/>
    </row>
    <row r="84" spans="1:16" ht="20">
      <c r="A84" s="110" t="s">
        <v>190</v>
      </c>
      <c r="B84" s="652"/>
      <c r="C84" s="652"/>
      <c r="D84" s="653"/>
      <c r="E84" s="652"/>
      <c r="F84" s="654"/>
      <c r="G84" s="654"/>
      <c r="H84" s="652"/>
      <c r="I84" s="655"/>
      <c r="L84" s="18"/>
      <c r="M84" s="18"/>
      <c r="P84" s="18" t="str">
        <f>P1</f>
        <v>OKT Project 23 of 23</v>
      </c>
    </row>
    <row r="85" spans="1:16" ht="17.5">
      <c r="B85" s="652"/>
      <c r="C85" s="652"/>
      <c r="D85" s="653"/>
      <c r="E85" s="652"/>
      <c r="F85" s="652"/>
      <c r="G85" s="652"/>
      <c r="H85" s="652"/>
      <c r="I85" s="655"/>
      <c r="J85" s="652"/>
      <c r="K85" s="652"/>
      <c r="L85" s="652"/>
      <c r="M85" s="652"/>
      <c r="P85" s="117" t="s">
        <v>132</v>
      </c>
    </row>
    <row r="86" spans="1:16" ht="17.5" thickBot="1">
      <c r="B86" s="657" t="s">
        <v>42</v>
      </c>
      <c r="C86" s="695" t="s">
        <v>81</v>
      </c>
      <c r="D86" s="653"/>
      <c r="E86" s="652"/>
      <c r="F86" s="652"/>
      <c r="G86" s="652"/>
      <c r="H86" s="652"/>
      <c r="I86" s="655"/>
      <c r="J86" s="655"/>
      <c r="K86" s="659"/>
      <c r="L86" s="655"/>
      <c r="M86" s="655"/>
      <c r="N86" s="655"/>
      <c r="O86" s="659"/>
      <c r="P86" s="652"/>
    </row>
    <row r="87" spans="1:16" ht="16" thickBot="1">
      <c r="C87" s="660"/>
      <c r="D87" s="653"/>
      <c r="E87" s="652"/>
      <c r="F87" s="652"/>
      <c r="G87" s="652"/>
      <c r="H87" s="652"/>
      <c r="I87" s="655"/>
      <c r="J87" s="655"/>
      <c r="K87" s="659"/>
      <c r="L87" s="696">
        <f>+J93</f>
        <v>2020</v>
      </c>
      <c r="M87" s="697" t="s">
        <v>9</v>
      </c>
      <c r="N87" s="698" t="s">
        <v>134</v>
      </c>
      <c r="O87" s="699" t="s">
        <v>11</v>
      </c>
      <c r="P87" s="652"/>
    </row>
    <row r="88" spans="1:16" ht="15.5">
      <c r="C88" s="107" t="s">
        <v>44</v>
      </c>
      <c r="D88" s="653"/>
      <c r="E88" s="652"/>
      <c r="F88" s="652"/>
      <c r="G88" s="652"/>
      <c r="H88" s="21"/>
      <c r="I88" s="652" t="s">
        <v>45</v>
      </c>
      <c r="J88" s="652"/>
      <c r="K88" s="122"/>
      <c r="L88" s="700" t="s">
        <v>253</v>
      </c>
      <c r="M88" s="83">
        <f>IF(J93&lt;D11,0,VLOOKUP(J93,C17:O73,9))</f>
        <v>0</v>
      </c>
      <c r="N88" s="83">
        <f>IF(J93&lt;D11,0,VLOOKUP(J93,C17:O73,11))</f>
        <v>0</v>
      </c>
      <c r="O88" s="701">
        <f>+N88-M88</f>
        <v>0</v>
      </c>
      <c r="P88" s="652"/>
    </row>
    <row r="89" spans="1:16" ht="15.5">
      <c r="C89" s="8"/>
      <c r="D89" s="653"/>
      <c r="E89" s="652"/>
      <c r="F89" s="652"/>
      <c r="G89" s="652"/>
      <c r="H89" s="652"/>
      <c r="I89" s="26"/>
      <c r="J89" s="26"/>
      <c r="K89" s="124"/>
      <c r="L89" s="702" t="s">
        <v>254</v>
      </c>
      <c r="M89" s="85">
        <f>IF(J93&lt;D11,0,VLOOKUP(J93,C100:P155,6))</f>
        <v>0</v>
      </c>
      <c r="N89" s="85">
        <f>IF(J93&lt;D11,0,VLOOKUP(J93,C100:P155,7))</f>
        <v>0</v>
      </c>
      <c r="O89" s="703">
        <f>+N89-M89</f>
        <v>0</v>
      </c>
      <c r="P89" s="652"/>
    </row>
    <row r="90" spans="1:16" ht="13.5" thickBot="1">
      <c r="C90" s="662" t="s">
        <v>82</v>
      </c>
      <c r="D90" s="113">
        <f>+D7</f>
        <v>0</v>
      </c>
      <c r="E90" s="652"/>
      <c r="F90" s="652"/>
      <c r="G90" s="652"/>
      <c r="H90" s="652"/>
      <c r="I90" s="655"/>
      <c r="J90" s="655"/>
      <c r="K90" s="126"/>
      <c r="L90" s="704" t="s">
        <v>135</v>
      </c>
      <c r="M90" s="88">
        <f>+M89-M88</f>
        <v>0</v>
      </c>
      <c r="N90" s="88">
        <f>+N89-N88</f>
        <v>0</v>
      </c>
      <c r="O90" s="89">
        <f>+O89-O88</f>
        <v>0</v>
      </c>
      <c r="P90" s="652"/>
    </row>
    <row r="91" spans="1:16" ht="13.5" thickBot="1">
      <c r="C91" s="665"/>
      <c r="D91" s="81" t="str">
        <f>IF(D8="","",D8)</f>
        <v/>
      </c>
      <c r="E91" s="679"/>
      <c r="F91" s="679"/>
      <c r="G91" s="679"/>
      <c r="H91" s="666"/>
      <c r="I91" s="655"/>
      <c r="J91" s="655"/>
      <c r="K91" s="659"/>
      <c r="L91" s="655"/>
      <c r="M91" s="655"/>
      <c r="N91" s="655"/>
      <c r="O91" s="659"/>
      <c r="P91" s="652"/>
    </row>
    <row r="92" spans="1:16" ht="13.5" thickBot="1">
      <c r="C92" s="705" t="s">
        <v>83</v>
      </c>
      <c r="D92" s="706">
        <f>+D9</f>
        <v>0</v>
      </c>
      <c r="E92" s="707"/>
      <c r="F92" s="707"/>
      <c r="G92" s="707"/>
      <c r="H92" s="707"/>
      <c r="I92" s="707"/>
      <c r="J92" s="707"/>
    </row>
    <row r="93" spans="1:16" ht="13">
      <c r="C93" s="672" t="s">
        <v>49</v>
      </c>
      <c r="D93" s="708">
        <v>0</v>
      </c>
      <c r="E93" s="652" t="s">
        <v>84</v>
      </c>
      <c r="H93" s="653"/>
      <c r="I93" s="653"/>
      <c r="J93" s="673">
        <v>2020</v>
      </c>
      <c r="K93" s="671"/>
      <c r="L93" s="659" t="s">
        <v>85</v>
      </c>
      <c r="P93" s="652"/>
    </row>
    <row r="94" spans="1:16">
      <c r="C94" s="672" t="s">
        <v>52</v>
      </c>
      <c r="D94" s="709">
        <f>IF(D11="","",D11)</f>
        <v>2022</v>
      </c>
      <c r="E94" s="672" t="s">
        <v>53</v>
      </c>
      <c r="F94" s="653"/>
      <c r="G94" s="653"/>
      <c r="J94" s="674">
        <v>0</v>
      </c>
      <c r="K94" s="675"/>
      <c r="L94" t="str">
        <f>"          INPUT TRUE-UP ARR (WITH &amp; WITHOUT INCENTIVES) FROM EACH PRIOR YEAR"</f>
        <v xml:space="preserve">          INPUT TRUE-UP ARR (WITH &amp; WITHOUT INCENTIVES) FROM EACH PRIOR YEAR</v>
      </c>
      <c r="P94" s="652"/>
    </row>
    <row r="95" spans="1:16">
      <c r="C95" s="672" t="s">
        <v>54</v>
      </c>
      <c r="D95" s="709">
        <f>IF(D12="","",D12)</f>
        <v>12</v>
      </c>
      <c r="E95" s="672" t="s">
        <v>55</v>
      </c>
      <c r="F95" s="653"/>
      <c r="G95" s="653"/>
      <c r="J95" s="676">
        <v>0.11475877389767174</v>
      </c>
      <c r="K95" s="654"/>
      <c r="L95" t="s">
        <v>86</v>
      </c>
      <c r="P95" s="652"/>
    </row>
    <row r="96" spans="1:16">
      <c r="C96" s="672" t="s">
        <v>57</v>
      </c>
      <c r="D96" s="674">
        <v>21</v>
      </c>
      <c r="E96" s="672" t="s">
        <v>58</v>
      </c>
      <c r="F96" s="653"/>
      <c r="G96" s="653"/>
      <c r="J96" s="676">
        <v>0.11475877389767174</v>
      </c>
      <c r="K96" s="654"/>
      <c r="L96" s="659" t="s">
        <v>59</v>
      </c>
      <c r="M96" s="654"/>
      <c r="N96" s="654"/>
      <c r="O96" s="654"/>
      <c r="P96" s="652"/>
    </row>
    <row r="97" spans="1:16" ht="13" thickBot="1">
      <c r="C97" s="672" t="s">
        <v>60</v>
      </c>
      <c r="D97" s="710" t="str">
        <f>+D14</f>
        <v>No</v>
      </c>
      <c r="E97" s="711" t="s">
        <v>62</v>
      </c>
      <c r="F97" s="712"/>
      <c r="G97" s="712"/>
      <c r="H97" s="94"/>
      <c r="I97" s="94"/>
      <c r="J97" s="664">
        <f>IF(D93=0,0,D93/D96)</f>
        <v>0</v>
      </c>
      <c r="K97" s="659"/>
      <c r="L97" s="659"/>
      <c r="M97" s="659"/>
      <c r="N97" s="659"/>
      <c r="O97" s="659"/>
      <c r="P97" s="652"/>
    </row>
    <row r="98" spans="1:16" ht="39">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7" t="s">
        <v>93</v>
      </c>
      <c r="K99" s="55"/>
      <c r="L99" s="61" t="s">
        <v>74</v>
      </c>
      <c r="M99" s="61" t="s">
        <v>74</v>
      </c>
      <c r="N99" s="61" t="s">
        <v>94</v>
      </c>
      <c r="O99" s="61" t="s">
        <v>94</v>
      </c>
      <c r="P99" s="61" t="s">
        <v>94</v>
      </c>
    </row>
    <row r="100" spans="1:16">
      <c r="B100" t="str">
        <f t="shared" ref="B100:B155" si="9">IF(D100=F99,"","IU")</f>
        <v>IU</v>
      </c>
      <c r="C100" s="678">
        <f>IF(D94= "","-",D94)</f>
        <v>2022</v>
      </c>
      <c r="D100" s="679">
        <f>IF(D94=C100,0,IF(D93&lt;100000,0,D93))</f>
        <v>0</v>
      </c>
      <c r="E100" s="686">
        <f>IF(D93&lt;100000,0,J$97/12*(12-D95))</f>
        <v>0</v>
      </c>
      <c r="F100" s="681">
        <f>IF(D94=C100,+D93-E100,+D100-E100)</f>
        <v>0</v>
      </c>
      <c r="G100" s="713">
        <f>+(F100+D100)/2</f>
        <v>0</v>
      </c>
      <c r="H100" s="713">
        <f t="shared" ref="H100:H107" si="10">+J$95*G100+E100</f>
        <v>0</v>
      </c>
      <c r="I100" s="713">
        <f>+J$96*G100+E100</f>
        <v>0</v>
      </c>
      <c r="J100" s="685">
        <f t="shared" ref="J100:J131" si="11">+I100-H100</f>
        <v>0</v>
      </c>
      <c r="K100" s="685"/>
      <c r="L100" s="714">
        <f>+H100</f>
        <v>0</v>
      </c>
      <c r="M100" s="685">
        <f t="shared" ref="M100:M131" si="12">IF(L100&lt;&gt;0,+H100-L100,0)</f>
        <v>0</v>
      </c>
      <c r="N100" s="714">
        <f>+I100</f>
        <v>0</v>
      </c>
      <c r="O100" s="684">
        <f t="shared" ref="O100:O131" si="13">IF(N100&lt;&gt;0,+I100-N100,0)</f>
        <v>0</v>
      </c>
      <c r="P100" s="684">
        <f t="shared" ref="P100:P131" si="14">+O100-M100</f>
        <v>0</v>
      </c>
    </row>
    <row r="101" spans="1:16">
      <c r="B101" t="str">
        <f t="shared" si="9"/>
        <v/>
      </c>
      <c r="C101" s="678">
        <f>IF(D94="","-",+C100+1)</f>
        <v>2023</v>
      </c>
      <c r="D101" s="679">
        <f>IF(F100+SUM(E$100:E100)=D$93,F100,D$93-SUM(E$100:E100))</f>
        <v>0</v>
      </c>
      <c r="E101" s="510">
        <f t="shared" ref="E101:E155" si="15">IF(+J$97&lt;F100,J$97,D101)</f>
        <v>0</v>
      </c>
      <c r="F101" s="681">
        <f t="shared" ref="F101:F155" si="16">+D101-E101</f>
        <v>0</v>
      </c>
      <c r="G101" s="681">
        <f t="shared" ref="G101:G155" si="17">+(F101+D101)/2</f>
        <v>0</v>
      </c>
      <c r="H101" s="645">
        <f t="shared" ref="H101:H102" si="18">(D101+F101)/2*J$95+E101</f>
        <v>0</v>
      </c>
      <c r="I101" s="628">
        <f t="shared" ref="I101:I155" si="19">+J$96*G101+E101</f>
        <v>0</v>
      </c>
      <c r="J101" s="685">
        <f t="shared" si="11"/>
        <v>0</v>
      </c>
      <c r="K101" s="685"/>
      <c r="L101" s="130"/>
      <c r="M101" s="685">
        <f t="shared" si="12"/>
        <v>0</v>
      </c>
      <c r="N101" s="130"/>
      <c r="O101" s="685">
        <f t="shared" si="13"/>
        <v>0</v>
      </c>
      <c r="P101" s="685">
        <f t="shared" si="14"/>
        <v>0</v>
      </c>
    </row>
    <row r="102" spans="1:16">
      <c r="B102" t="str">
        <f t="shared" si="9"/>
        <v/>
      </c>
      <c r="C102" s="678">
        <f>IF(D94="","-",+C101+1)</f>
        <v>2024</v>
      </c>
      <c r="D102" s="679">
        <f>IF(F101+SUM(E$100:E101)=D$93,F101,D$93-SUM(E$100:E101))</f>
        <v>0</v>
      </c>
      <c r="E102" s="510">
        <f t="shared" si="15"/>
        <v>0</v>
      </c>
      <c r="F102" s="681">
        <f t="shared" si="16"/>
        <v>0</v>
      </c>
      <c r="G102" s="681">
        <f t="shared" si="17"/>
        <v>0</v>
      </c>
      <c r="H102" s="645">
        <f t="shared" si="18"/>
        <v>0</v>
      </c>
      <c r="I102" s="628">
        <f t="shared" si="19"/>
        <v>0</v>
      </c>
      <c r="J102" s="685">
        <f t="shared" si="11"/>
        <v>0</v>
      </c>
      <c r="K102" s="685"/>
      <c r="L102" s="130"/>
      <c r="M102" s="685">
        <f t="shared" si="12"/>
        <v>0</v>
      </c>
      <c r="N102" s="130"/>
      <c r="O102" s="685">
        <f t="shared" si="13"/>
        <v>0</v>
      </c>
      <c r="P102" s="685">
        <f t="shared" si="14"/>
        <v>0</v>
      </c>
    </row>
    <row r="103" spans="1:16">
      <c r="B103" t="str">
        <f t="shared" si="9"/>
        <v/>
      </c>
      <c r="C103" s="678">
        <f>IF(D94="","-",+C102+1)</f>
        <v>2025</v>
      </c>
      <c r="D103" s="679">
        <f>IF(F102+SUM(E$100:E102)=D$93,F102,D$93-SUM(E$100:E102))</f>
        <v>0</v>
      </c>
      <c r="E103" s="69">
        <f t="shared" si="15"/>
        <v>0</v>
      </c>
      <c r="F103" s="681">
        <f t="shared" si="16"/>
        <v>0</v>
      </c>
      <c r="G103" s="681">
        <f t="shared" si="17"/>
        <v>0</v>
      </c>
      <c r="H103" s="128">
        <f t="shared" si="10"/>
        <v>0</v>
      </c>
      <c r="I103" s="137">
        <f t="shared" si="19"/>
        <v>0</v>
      </c>
      <c r="J103" s="685">
        <f t="shared" si="11"/>
        <v>0</v>
      </c>
      <c r="K103" s="685"/>
      <c r="L103" s="130"/>
      <c r="M103" s="685">
        <f t="shared" si="12"/>
        <v>0</v>
      </c>
      <c r="N103" s="130"/>
      <c r="O103" s="685">
        <f t="shared" si="13"/>
        <v>0</v>
      </c>
      <c r="P103" s="685">
        <f t="shared" si="14"/>
        <v>0</v>
      </c>
    </row>
    <row r="104" spans="1:16">
      <c r="B104" t="str">
        <f t="shared" si="9"/>
        <v/>
      </c>
      <c r="C104" s="678">
        <f>IF(D94="","-",+C103+1)</f>
        <v>2026</v>
      </c>
      <c r="D104" s="679">
        <f>IF(F103+SUM(E$100:E103)=D$93,F103,D$93-SUM(E$100:E103))</f>
        <v>0</v>
      </c>
      <c r="E104" s="69">
        <f t="shared" si="15"/>
        <v>0</v>
      </c>
      <c r="F104" s="681">
        <f t="shared" si="16"/>
        <v>0</v>
      </c>
      <c r="G104" s="681">
        <f t="shared" si="17"/>
        <v>0</v>
      </c>
      <c r="H104" s="128">
        <f t="shared" si="10"/>
        <v>0</v>
      </c>
      <c r="I104" s="137">
        <f t="shared" si="19"/>
        <v>0</v>
      </c>
      <c r="J104" s="685">
        <f t="shared" si="11"/>
        <v>0</v>
      </c>
      <c r="K104" s="685"/>
      <c r="L104" s="130"/>
      <c r="M104" s="685">
        <f t="shared" si="12"/>
        <v>0</v>
      </c>
      <c r="N104" s="130"/>
      <c r="O104" s="685">
        <f t="shared" si="13"/>
        <v>0</v>
      </c>
      <c r="P104" s="685">
        <f t="shared" si="14"/>
        <v>0</v>
      </c>
    </row>
    <row r="105" spans="1:16">
      <c r="B105" t="str">
        <f t="shared" si="9"/>
        <v/>
      </c>
      <c r="C105" s="678">
        <f>IF(D94="","-",+C104+1)</f>
        <v>2027</v>
      </c>
      <c r="D105" s="679">
        <f>IF(F104+SUM(E$100:E104)=D$93,F104,D$93-SUM(E$100:E104))</f>
        <v>0</v>
      </c>
      <c r="E105" s="69">
        <f t="shared" si="15"/>
        <v>0</v>
      </c>
      <c r="F105" s="681">
        <f t="shared" si="16"/>
        <v>0</v>
      </c>
      <c r="G105" s="681">
        <f t="shared" si="17"/>
        <v>0</v>
      </c>
      <c r="H105" s="128">
        <f t="shared" si="10"/>
        <v>0</v>
      </c>
      <c r="I105" s="137">
        <f t="shared" si="19"/>
        <v>0</v>
      </c>
      <c r="J105" s="685">
        <f t="shared" si="11"/>
        <v>0</v>
      </c>
      <c r="K105" s="685"/>
      <c r="L105" s="130"/>
      <c r="M105" s="685">
        <f t="shared" si="12"/>
        <v>0</v>
      </c>
      <c r="N105" s="130"/>
      <c r="O105" s="685">
        <f t="shared" si="13"/>
        <v>0</v>
      </c>
      <c r="P105" s="685">
        <f t="shared" si="14"/>
        <v>0</v>
      </c>
    </row>
    <row r="106" spans="1:16">
      <c r="B106" t="str">
        <f t="shared" si="9"/>
        <v/>
      </c>
      <c r="C106" s="678">
        <f>IF(D94="","-",+C105+1)</f>
        <v>2028</v>
      </c>
      <c r="D106" s="679">
        <f>IF(F105+SUM(E$100:E105)=D$93,F105,D$93-SUM(E$100:E105))</f>
        <v>0</v>
      </c>
      <c r="E106" s="69">
        <f t="shared" si="15"/>
        <v>0</v>
      </c>
      <c r="F106" s="681">
        <f t="shared" si="16"/>
        <v>0</v>
      </c>
      <c r="G106" s="681">
        <f t="shared" si="17"/>
        <v>0</v>
      </c>
      <c r="H106" s="128">
        <f t="shared" si="10"/>
        <v>0</v>
      </c>
      <c r="I106" s="137">
        <f t="shared" si="19"/>
        <v>0</v>
      </c>
      <c r="J106" s="685">
        <f t="shared" si="11"/>
        <v>0</v>
      </c>
      <c r="K106" s="685"/>
      <c r="L106" s="130"/>
      <c r="M106" s="685">
        <f t="shared" si="12"/>
        <v>0</v>
      </c>
      <c r="N106" s="130"/>
      <c r="O106" s="685">
        <f t="shared" si="13"/>
        <v>0</v>
      </c>
      <c r="P106" s="685">
        <f t="shared" si="14"/>
        <v>0</v>
      </c>
    </row>
    <row r="107" spans="1:16">
      <c r="B107" t="str">
        <f t="shared" si="9"/>
        <v/>
      </c>
      <c r="C107" s="678">
        <f>IF(D94="","-",+C106+1)</f>
        <v>2029</v>
      </c>
      <c r="D107" s="679">
        <f>IF(F106+SUM(E$100:E106)=D$93,F106,D$93-SUM(E$100:E106))</f>
        <v>0</v>
      </c>
      <c r="E107" s="69">
        <f t="shared" si="15"/>
        <v>0</v>
      </c>
      <c r="F107" s="681">
        <f t="shared" si="16"/>
        <v>0</v>
      </c>
      <c r="G107" s="681">
        <f t="shared" si="17"/>
        <v>0</v>
      </c>
      <c r="H107" s="128">
        <f t="shared" si="10"/>
        <v>0</v>
      </c>
      <c r="I107" s="137">
        <f t="shared" si="19"/>
        <v>0</v>
      </c>
      <c r="J107" s="685">
        <f t="shared" si="11"/>
        <v>0</v>
      </c>
      <c r="K107" s="685"/>
      <c r="L107" s="130"/>
      <c r="M107" s="685">
        <f t="shared" si="12"/>
        <v>0</v>
      </c>
      <c r="N107" s="130"/>
      <c r="O107" s="685">
        <f t="shared" si="13"/>
        <v>0</v>
      </c>
      <c r="P107" s="685">
        <f t="shared" si="14"/>
        <v>0</v>
      </c>
    </row>
    <row r="108" spans="1:16">
      <c r="B108" t="str">
        <f t="shared" si="9"/>
        <v/>
      </c>
      <c r="C108" s="678">
        <f>IF(D94="","-",+C107+1)</f>
        <v>2030</v>
      </c>
      <c r="D108" s="679">
        <f>IF(F107+SUM(E$100:E107)=D$93,F107,D$93-SUM(E$100:E107))</f>
        <v>0</v>
      </c>
      <c r="E108" s="510">
        <f t="shared" si="15"/>
        <v>0</v>
      </c>
      <c r="F108" s="681">
        <f t="shared" si="16"/>
        <v>0</v>
      </c>
      <c r="G108" s="681">
        <f t="shared" si="17"/>
        <v>0</v>
      </c>
      <c r="H108" s="645">
        <f t="shared" ref="H108:H155" si="20">(D108+F108)/2*J$95+E108</f>
        <v>0</v>
      </c>
      <c r="I108" s="628">
        <f t="shared" si="19"/>
        <v>0</v>
      </c>
      <c r="J108" s="685">
        <f t="shared" si="11"/>
        <v>0</v>
      </c>
      <c r="K108" s="685"/>
      <c r="L108" s="130"/>
      <c r="M108" s="685">
        <f t="shared" si="12"/>
        <v>0</v>
      </c>
      <c r="N108" s="130"/>
      <c r="O108" s="685">
        <f t="shared" si="13"/>
        <v>0</v>
      </c>
      <c r="P108" s="685">
        <f t="shared" si="14"/>
        <v>0</v>
      </c>
    </row>
    <row r="109" spans="1:16">
      <c r="B109" t="str">
        <f t="shared" si="9"/>
        <v/>
      </c>
      <c r="C109" s="678">
        <f>IF(D94="","-",+C108+1)</f>
        <v>2031</v>
      </c>
      <c r="D109" s="679">
        <f>IF(F108+SUM(E$100:E108)=D$93,F108,D$93-SUM(E$100:E108))</f>
        <v>0</v>
      </c>
      <c r="E109" s="510">
        <f t="shared" si="15"/>
        <v>0</v>
      </c>
      <c r="F109" s="681">
        <f t="shared" si="16"/>
        <v>0</v>
      </c>
      <c r="G109" s="681">
        <f t="shared" si="17"/>
        <v>0</v>
      </c>
      <c r="H109" s="645">
        <f t="shared" si="20"/>
        <v>0</v>
      </c>
      <c r="I109" s="628">
        <f t="shared" si="19"/>
        <v>0</v>
      </c>
      <c r="J109" s="685">
        <f t="shared" si="11"/>
        <v>0</v>
      </c>
      <c r="K109" s="685"/>
      <c r="L109" s="130"/>
      <c r="M109" s="685">
        <f t="shared" si="12"/>
        <v>0</v>
      </c>
      <c r="N109" s="130"/>
      <c r="O109" s="685">
        <f t="shared" si="13"/>
        <v>0</v>
      </c>
      <c r="P109" s="685">
        <f t="shared" si="14"/>
        <v>0</v>
      </c>
    </row>
    <row r="110" spans="1:16">
      <c r="B110" t="str">
        <f t="shared" si="9"/>
        <v/>
      </c>
      <c r="C110" s="678">
        <f>IF(D94="","-",+C109+1)</f>
        <v>2032</v>
      </c>
      <c r="D110" s="679">
        <f>IF(F109+SUM(E$100:E109)=D$93,F109,D$93-SUM(E$100:E109))</f>
        <v>0</v>
      </c>
      <c r="E110" s="510">
        <f t="shared" si="15"/>
        <v>0</v>
      </c>
      <c r="F110" s="681">
        <f t="shared" si="16"/>
        <v>0</v>
      </c>
      <c r="G110" s="681">
        <f t="shared" si="17"/>
        <v>0</v>
      </c>
      <c r="H110" s="645">
        <f t="shared" si="20"/>
        <v>0</v>
      </c>
      <c r="I110" s="628">
        <f t="shared" si="19"/>
        <v>0</v>
      </c>
      <c r="J110" s="685">
        <f t="shared" si="11"/>
        <v>0</v>
      </c>
      <c r="K110" s="685"/>
      <c r="L110" s="130"/>
      <c r="M110" s="685">
        <f t="shared" si="12"/>
        <v>0</v>
      </c>
      <c r="N110" s="130"/>
      <c r="O110" s="685">
        <f t="shared" si="13"/>
        <v>0</v>
      </c>
      <c r="P110" s="685">
        <f t="shared" si="14"/>
        <v>0</v>
      </c>
    </row>
    <row r="111" spans="1:16">
      <c r="B111" t="str">
        <f t="shared" si="9"/>
        <v/>
      </c>
      <c r="C111" s="678">
        <f>IF(D94="","-",+C110+1)</f>
        <v>2033</v>
      </c>
      <c r="D111" s="679">
        <f>IF(F110+SUM(E$100:E110)=D$93,F110,D$93-SUM(E$100:E110))</f>
        <v>0</v>
      </c>
      <c r="E111" s="510">
        <f t="shared" si="15"/>
        <v>0</v>
      </c>
      <c r="F111" s="681">
        <f t="shared" si="16"/>
        <v>0</v>
      </c>
      <c r="G111" s="681">
        <f t="shared" si="17"/>
        <v>0</v>
      </c>
      <c r="H111" s="645">
        <f t="shared" si="20"/>
        <v>0</v>
      </c>
      <c r="I111" s="628">
        <f t="shared" si="19"/>
        <v>0</v>
      </c>
      <c r="J111" s="685">
        <f t="shared" si="11"/>
        <v>0</v>
      </c>
      <c r="K111" s="685"/>
      <c r="L111" s="130"/>
      <c r="M111" s="685">
        <f t="shared" si="12"/>
        <v>0</v>
      </c>
      <c r="N111" s="130"/>
      <c r="O111" s="685">
        <f t="shared" si="13"/>
        <v>0</v>
      </c>
      <c r="P111" s="685">
        <f t="shared" si="14"/>
        <v>0</v>
      </c>
    </row>
    <row r="112" spans="1:16">
      <c r="B112" t="str">
        <f t="shared" si="9"/>
        <v/>
      </c>
      <c r="C112" s="678">
        <f>IF(D94="","-",+C111+1)</f>
        <v>2034</v>
      </c>
      <c r="D112" s="679">
        <f>IF(F111+SUM(E$100:E111)=D$93,F111,D$93-SUM(E$100:E111))</f>
        <v>0</v>
      </c>
      <c r="E112" s="510">
        <f t="shared" si="15"/>
        <v>0</v>
      </c>
      <c r="F112" s="681">
        <f t="shared" si="16"/>
        <v>0</v>
      </c>
      <c r="G112" s="681">
        <f t="shared" si="17"/>
        <v>0</v>
      </c>
      <c r="H112" s="645">
        <f t="shared" si="20"/>
        <v>0</v>
      </c>
      <c r="I112" s="628">
        <f t="shared" si="19"/>
        <v>0</v>
      </c>
      <c r="J112" s="685">
        <f t="shared" si="11"/>
        <v>0</v>
      </c>
      <c r="K112" s="685"/>
      <c r="L112" s="130"/>
      <c r="M112" s="685">
        <f t="shared" si="12"/>
        <v>0</v>
      </c>
      <c r="N112" s="130"/>
      <c r="O112" s="685">
        <f t="shared" si="13"/>
        <v>0</v>
      </c>
      <c r="P112" s="685">
        <f t="shared" si="14"/>
        <v>0</v>
      </c>
    </row>
    <row r="113" spans="2:16">
      <c r="B113" t="str">
        <f t="shared" si="9"/>
        <v/>
      </c>
      <c r="C113" s="678">
        <f>IF(D94="","-",+C112+1)</f>
        <v>2035</v>
      </c>
      <c r="D113" s="679">
        <f>IF(F112+SUM(E$100:E112)=D$93,F112,D$93-SUM(E$100:E112))</f>
        <v>0</v>
      </c>
      <c r="E113" s="510">
        <f t="shared" si="15"/>
        <v>0</v>
      </c>
      <c r="F113" s="681">
        <f t="shared" si="16"/>
        <v>0</v>
      </c>
      <c r="G113" s="681">
        <f t="shared" si="17"/>
        <v>0</v>
      </c>
      <c r="H113" s="645">
        <f t="shared" si="20"/>
        <v>0</v>
      </c>
      <c r="I113" s="628">
        <f t="shared" si="19"/>
        <v>0</v>
      </c>
      <c r="J113" s="685">
        <f t="shared" si="11"/>
        <v>0</v>
      </c>
      <c r="K113" s="685"/>
      <c r="L113" s="130"/>
      <c r="M113" s="685">
        <f t="shared" si="12"/>
        <v>0</v>
      </c>
      <c r="N113" s="130"/>
      <c r="O113" s="685">
        <f t="shared" si="13"/>
        <v>0</v>
      </c>
      <c r="P113" s="685">
        <f t="shared" si="14"/>
        <v>0</v>
      </c>
    </row>
    <row r="114" spans="2:16">
      <c r="B114" t="str">
        <f t="shared" si="9"/>
        <v/>
      </c>
      <c r="C114" s="678">
        <f>IF(D94="","-",+C113+1)</f>
        <v>2036</v>
      </c>
      <c r="D114" s="679">
        <f>IF(F113+SUM(E$100:E113)=D$93,F113,D$93-SUM(E$100:E113))</f>
        <v>0</v>
      </c>
      <c r="E114" s="510">
        <f t="shared" si="15"/>
        <v>0</v>
      </c>
      <c r="F114" s="681">
        <f t="shared" si="16"/>
        <v>0</v>
      </c>
      <c r="G114" s="681">
        <f t="shared" si="17"/>
        <v>0</v>
      </c>
      <c r="H114" s="645">
        <f t="shared" si="20"/>
        <v>0</v>
      </c>
      <c r="I114" s="628">
        <f t="shared" si="19"/>
        <v>0</v>
      </c>
      <c r="J114" s="685">
        <f t="shared" si="11"/>
        <v>0</v>
      </c>
      <c r="K114" s="685"/>
      <c r="L114" s="130"/>
      <c r="M114" s="685">
        <f t="shared" si="12"/>
        <v>0</v>
      </c>
      <c r="N114" s="130"/>
      <c r="O114" s="685">
        <f t="shared" si="13"/>
        <v>0</v>
      </c>
      <c r="P114" s="685">
        <f t="shared" si="14"/>
        <v>0</v>
      </c>
    </row>
    <row r="115" spans="2:16">
      <c r="B115" t="str">
        <f t="shared" si="9"/>
        <v/>
      </c>
      <c r="C115" s="678">
        <f>IF(D94="","-",+C114+1)</f>
        <v>2037</v>
      </c>
      <c r="D115" s="679">
        <f>IF(F114+SUM(E$100:E114)=D$93,F114,D$93-SUM(E$100:E114))</f>
        <v>0</v>
      </c>
      <c r="E115" s="510">
        <f t="shared" si="15"/>
        <v>0</v>
      </c>
      <c r="F115" s="681">
        <f t="shared" si="16"/>
        <v>0</v>
      </c>
      <c r="G115" s="681">
        <f t="shared" si="17"/>
        <v>0</v>
      </c>
      <c r="H115" s="645">
        <f t="shared" si="20"/>
        <v>0</v>
      </c>
      <c r="I115" s="628">
        <f t="shared" si="19"/>
        <v>0</v>
      </c>
      <c r="J115" s="685">
        <f t="shared" si="11"/>
        <v>0</v>
      </c>
      <c r="K115" s="685"/>
      <c r="L115" s="130"/>
      <c r="M115" s="685">
        <f t="shared" si="12"/>
        <v>0</v>
      </c>
      <c r="N115" s="130"/>
      <c r="O115" s="685">
        <f t="shared" si="13"/>
        <v>0</v>
      </c>
      <c r="P115" s="685">
        <f t="shared" si="14"/>
        <v>0</v>
      </c>
    </row>
    <row r="116" spans="2:16">
      <c r="B116" t="str">
        <f t="shared" si="9"/>
        <v/>
      </c>
      <c r="C116" s="678">
        <f>IF(D94="","-",+C115+1)</f>
        <v>2038</v>
      </c>
      <c r="D116" s="679">
        <f>IF(F115+SUM(E$100:E115)=D$93,F115,D$93-SUM(E$100:E115))</f>
        <v>0</v>
      </c>
      <c r="E116" s="510">
        <f t="shared" si="15"/>
        <v>0</v>
      </c>
      <c r="F116" s="681">
        <f t="shared" si="16"/>
        <v>0</v>
      </c>
      <c r="G116" s="681">
        <f t="shared" si="17"/>
        <v>0</v>
      </c>
      <c r="H116" s="645">
        <f t="shared" si="20"/>
        <v>0</v>
      </c>
      <c r="I116" s="628">
        <f t="shared" si="19"/>
        <v>0</v>
      </c>
      <c r="J116" s="685">
        <f t="shared" si="11"/>
        <v>0</v>
      </c>
      <c r="K116" s="685"/>
      <c r="L116" s="130"/>
      <c r="M116" s="685">
        <f t="shared" si="12"/>
        <v>0</v>
      </c>
      <c r="N116" s="130"/>
      <c r="O116" s="685">
        <f t="shared" si="13"/>
        <v>0</v>
      </c>
      <c r="P116" s="685">
        <f t="shared" si="14"/>
        <v>0</v>
      </c>
    </row>
    <row r="117" spans="2:16">
      <c r="B117" t="str">
        <f t="shared" si="9"/>
        <v/>
      </c>
      <c r="C117" s="678">
        <f>IF(D94="","-",+C116+1)</f>
        <v>2039</v>
      </c>
      <c r="D117" s="679">
        <f>IF(F116+SUM(E$100:E116)=D$93,F116,D$93-SUM(E$100:E116))</f>
        <v>0</v>
      </c>
      <c r="E117" s="510">
        <f t="shared" si="15"/>
        <v>0</v>
      </c>
      <c r="F117" s="681">
        <f t="shared" si="16"/>
        <v>0</v>
      </c>
      <c r="G117" s="681">
        <f t="shared" si="17"/>
        <v>0</v>
      </c>
      <c r="H117" s="645">
        <f t="shared" si="20"/>
        <v>0</v>
      </c>
      <c r="I117" s="628">
        <f t="shared" si="19"/>
        <v>0</v>
      </c>
      <c r="J117" s="685">
        <f t="shared" si="11"/>
        <v>0</v>
      </c>
      <c r="K117" s="685"/>
      <c r="L117" s="130"/>
      <c r="M117" s="685">
        <f t="shared" si="12"/>
        <v>0</v>
      </c>
      <c r="N117" s="130"/>
      <c r="O117" s="685">
        <f t="shared" si="13"/>
        <v>0</v>
      </c>
      <c r="P117" s="685">
        <f t="shared" si="14"/>
        <v>0</v>
      </c>
    </row>
    <row r="118" spans="2:16">
      <c r="B118" t="str">
        <f t="shared" si="9"/>
        <v/>
      </c>
      <c r="C118" s="678">
        <f>IF(D94="","-",+C117+1)</f>
        <v>2040</v>
      </c>
      <c r="D118" s="679">
        <f>IF(F117+SUM(E$100:E117)=D$93,F117,D$93-SUM(E$100:E117))</f>
        <v>0</v>
      </c>
      <c r="E118" s="510">
        <f t="shared" si="15"/>
        <v>0</v>
      </c>
      <c r="F118" s="681">
        <f t="shared" si="16"/>
        <v>0</v>
      </c>
      <c r="G118" s="681">
        <f t="shared" si="17"/>
        <v>0</v>
      </c>
      <c r="H118" s="645">
        <f t="shared" si="20"/>
        <v>0</v>
      </c>
      <c r="I118" s="628">
        <f t="shared" si="19"/>
        <v>0</v>
      </c>
      <c r="J118" s="685">
        <f t="shared" si="11"/>
        <v>0</v>
      </c>
      <c r="K118" s="685"/>
      <c r="L118" s="130"/>
      <c r="M118" s="685">
        <f t="shared" si="12"/>
        <v>0</v>
      </c>
      <c r="N118" s="130"/>
      <c r="O118" s="685">
        <f t="shared" si="13"/>
        <v>0</v>
      </c>
      <c r="P118" s="685">
        <f t="shared" si="14"/>
        <v>0</v>
      </c>
    </row>
    <row r="119" spans="2:16">
      <c r="B119" t="str">
        <f t="shared" si="9"/>
        <v/>
      </c>
      <c r="C119" s="678">
        <f>IF(D94="","-",+C118+1)</f>
        <v>2041</v>
      </c>
      <c r="D119" s="679">
        <f>IF(F118+SUM(E$100:E118)=D$93,F118,D$93-SUM(E$100:E118))</f>
        <v>0</v>
      </c>
      <c r="E119" s="510">
        <f t="shared" si="15"/>
        <v>0</v>
      </c>
      <c r="F119" s="681">
        <f t="shared" si="16"/>
        <v>0</v>
      </c>
      <c r="G119" s="681">
        <f t="shared" si="17"/>
        <v>0</v>
      </c>
      <c r="H119" s="645">
        <f t="shared" si="20"/>
        <v>0</v>
      </c>
      <c r="I119" s="628">
        <f t="shared" si="19"/>
        <v>0</v>
      </c>
      <c r="J119" s="685">
        <f t="shared" si="11"/>
        <v>0</v>
      </c>
      <c r="K119" s="685"/>
      <c r="L119" s="130"/>
      <c r="M119" s="685">
        <f t="shared" si="12"/>
        <v>0</v>
      </c>
      <c r="N119" s="130"/>
      <c r="O119" s="685">
        <f t="shared" si="13"/>
        <v>0</v>
      </c>
      <c r="P119" s="685">
        <f t="shared" si="14"/>
        <v>0</v>
      </c>
    </row>
    <row r="120" spans="2:16">
      <c r="B120" t="str">
        <f t="shared" si="9"/>
        <v/>
      </c>
      <c r="C120" s="678">
        <f>IF(D94="","-",+C119+1)</f>
        <v>2042</v>
      </c>
      <c r="D120" s="679">
        <f>IF(F119+SUM(E$100:E119)=D$93,F119,D$93-SUM(E$100:E119))</f>
        <v>0</v>
      </c>
      <c r="E120" s="510">
        <f t="shared" si="15"/>
        <v>0</v>
      </c>
      <c r="F120" s="681">
        <f t="shared" si="16"/>
        <v>0</v>
      </c>
      <c r="G120" s="681">
        <f t="shared" si="17"/>
        <v>0</v>
      </c>
      <c r="H120" s="645">
        <f t="shared" si="20"/>
        <v>0</v>
      </c>
      <c r="I120" s="628">
        <f t="shared" si="19"/>
        <v>0</v>
      </c>
      <c r="J120" s="685">
        <f t="shared" si="11"/>
        <v>0</v>
      </c>
      <c r="K120" s="685"/>
      <c r="L120" s="130"/>
      <c r="M120" s="685">
        <f t="shared" si="12"/>
        <v>0</v>
      </c>
      <c r="N120" s="130"/>
      <c r="O120" s="685">
        <f t="shared" si="13"/>
        <v>0</v>
      </c>
      <c r="P120" s="685">
        <f t="shared" si="14"/>
        <v>0</v>
      </c>
    </row>
    <row r="121" spans="2:16">
      <c r="B121" t="str">
        <f t="shared" si="9"/>
        <v/>
      </c>
      <c r="C121" s="678">
        <f>IF(D94="","-",+C120+1)</f>
        <v>2043</v>
      </c>
      <c r="D121" s="679">
        <f>IF(F120+SUM(E$100:E120)=D$93,F120,D$93-SUM(E$100:E120))</f>
        <v>0</v>
      </c>
      <c r="E121" s="510">
        <f t="shared" si="15"/>
        <v>0</v>
      </c>
      <c r="F121" s="681">
        <f t="shared" si="16"/>
        <v>0</v>
      </c>
      <c r="G121" s="681">
        <f t="shared" si="17"/>
        <v>0</v>
      </c>
      <c r="H121" s="645">
        <f t="shared" si="20"/>
        <v>0</v>
      </c>
      <c r="I121" s="628">
        <f t="shared" si="19"/>
        <v>0</v>
      </c>
      <c r="J121" s="685">
        <f t="shared" si="11"/>
        <v>0</v>
      </c>
      <c r="K121" s="685"/>
      <c r="L121" s="130"/>
      <c r="M121" s="685">
        <f t="shared" si="12"/>
        <v>0</v>
      </c>
      <c r="N121" s="130"/>
      <c r="O121" s="685">
        <f t="shared" si="13"/>
        <v>0</v>
      </c>
      <c r="P121" s="685">
        <f t="shared" si="14"/>
        <v>0</v>
      </c>
    </row>
    <row r="122" spans="2:16">
      <c r="B122" t="str">
        <f t="shared" si="9"/>
        <v/>
      </c>
      <c r="C122" s="678">
        <f>IF(D94="","-",+C121+1)</f>
        <v>2044</v>
      </c>
      <c r="D122" s="679">
        <f>IF(F121+SUM(E$100:E121)=D$93,F121,D$93-SUM(E$100:E121))</f>
        <v>0</v>
      </c>
      <c r="E122" s="510">
        <f t="shared" si="15"/>
        <v>0</v>
      </c>
      <c r="F122" s="681">
        <f t="shared" si="16"/>
        <v>0</v>
      </c>
      <c r="G122" s="681">
        <f t="shared" si="17"/>
        <v>0</v>
      </c>
      <c r="H122" s="645">
        <f t="shared" si="20"/>
        <v>0</v>
      </c>
      <c r="I122" s="628">
        <f t="shared" si="19"/>
        <v>0</v>
      </c>
      <c r="J122" s="685">
        <f t="shared" si="11"/>
        <v>0</v>
      </c>
      <c r="K122" s="685"/>
      <c r="L122" s="130"/>
      <c r="M122" s="685">
        <f t="shared" si="12"/>
        <v>0</v>
      </c>
      <c r="N122" s="130"/>
      <c r="O122" s="685">
        <f t="shared" si="13"/>
        <v>0</v>
      </c>
      <c r="P122" s="685">
        <f t="shared" si="14"/>
        <v>0</v>
      </c>
    </row>
    <row r="123" spans="2:16">
      <c r="B123" t="str">
        <f t="shared" si="9"/>
        <v/>
      </c>
      <c r="C123" s="678">
        <f>IF(D94="","-",+C122+1)</f>
        <v>2045</v>
      </c>
      <c r="D123" s="679">
        <f>IF(F122+SUM(E$100:E122)=D$93,F122,D$93-SUM(E$100:E122))</f>
        <v>0</v>
      </c>
      <c r="E123" s="510">
        <f t="shared" si="15"/>
        <v>0</v>
      </c>
      <c r="F123" s="681">
        <f t="shared" si="16"/>
        <v>0</v>
      </c>
      <c r="G123" s="681">
        <f t="shared" si="17"/>
        <v>0</v>
      </c>
      <c r="H123" s="645">
        <f t="shared" si="20"/>
        <v>0</v>
      </c>
      <c r="I123" s="628">
        <f t="shared" si="19"/>
        <v>0</v>
      </c>
      <c r="J123" s="685">
        <f t="shared" si="11"/>
        <v>0</v>
      </c>
      <c r="K123" s="685"/>
      <c r="L123" s="130"/>
      <c r="M123" s="685">
        <f t="shared" si="12"/>
        <v>0</v>
      </c>
      <c r="N123" s="130"/>
      <c r="O123" s="685">
        <f t="shared" si="13"/>
        <v>0</v>
      </c>
      <c r="P123" s="685">
        <f t="shared" si="14"/>
        <v>0</v>
      </c>
    </row>
    <row r="124" spans="2:16">
      <c r="B124" t="str">
        <f t="shared" si="9"/>
        <v/>
      </c>
      <c r="C124" s="678">
        <f>IF(D94="","-",+C123+1)</f>
        <v>2046</v>
      </c>
      <c r="D124" s="679">
        <f>IF(F123+SUM(E$100:E123)=D$93,F123,D$93-SUM(E$100:E123))</f>
        <v>0</v>
      </c>
      <c r="E124" s="510">
        <f t="shared" si="15"/>
        <v>0</v>
      </c>
      <c r="F124" s="681">
        <f t="shared" si="16"/>
        <v>0</v>
      </c>
      <c r="G124" s="681">
        <f t="shared" si="17"/>
        <v>0</v>
      </c>
      <c r="H124" s="645">
        <f t="shared" si="20"/>
        <v>0</v>
      </c>
      <c r="I124" s="628">
        <f t="shared" si="19"/>
        <v>0</v>
      </c>
      <c r="J124" s="685">
        <f t="shared" si="11"/>
        <v>0</v>
      </c>
      <c r="K124" s="685"/>
      <c r="L124" s="130"/>
      <c r="M124" s="685">
        <f t="shared" si="12"/>
        <v>0</v>
      </c>
      <c r="N124" s="130"/>
      <c r="O124" s="685">
        <f t="shared" si="13"/>
        <v>0</v>
      </c>
      <c r="P124" s="685">
        <f t="shared" si="14"/>
        <v>0</v>
      </c>
    </row>
    <row r="125" spans="2:16">
      <c r="B125" t="str">
        <f t="shared" si="9"/>
        <v/>
      </c>
      <c r="C125" s="678">
        <f>IF(D94="","-",+C124+1)</f>
        <v>2047</v>
      </c>
      <c r="D125" s="679">
        <f>IF(F124+SUM(E$100:E124)=D$93,F124,D$93-SUM(E$100:E124))</f>
        <v>0</v>
      </c>
      <c r="E125" s="510">
        <f t="shared" si="15"/>
        <v>0</v>
      </c>
      <c r="F125" s="681">
        <f t="shared" si="16"/>
        <v>0</v>
      </c>
      <c r="G125" s="681">
        <f t="shared" si="17"/>
        <v>0</v>
      </c>
      <c r="H125" s="645">
        <f t="shared" si="20"/>
        <v>0</v>
      </c>
      <c r="I125" s="628">
        <f t="shared" si="19"/>
        <v>0</v>
      </c>
      <c r="J125" s="685">
        <f t="shared" si="11"/>
        <v>0</v>
      </c>
      <c r="K125" s="685"/>
      <c r="L125" s="130"/>
      <c r="M125" s="685">
        <f t="shared" si="12"/>
        <v>0</v>
      </c>
      <c r="N125" s="130"/>
      <c r="O125" s="685">
        <f t="shared" si="13"/>
        <v>0</v>
      </c>
      <c r="P125" s="685">
        <f t="shared" si="14"/>
        <v>0</v>
      </c>
    </row>
    <row r="126" spans="2:16">
      <c r="B126" t="str">
        <f t="shared" si="9"/>
        <v/>
      </c>
      <c r="C126" s="678">
        <f>IF(D94="","-",+C125+1)</f>
        <v>2048</v>
      </c>
      <c r="D126" s="679">
        <f>IF(F125+SUM(E$100:E125)=D$93,F125,D$93-SUM(E$100:E125))</f>
        <v>0</v>
      </c>
      <c r="E126" s="510">
        <f t="shared" si="15"/>
        <v>0</v>
      </c>
      <c r="F126" s="681">
        <f t="shared" si="16"/>
        <v>0</v>
      </c>
      <c r="G126" s="681">
        <f t="shared" si="17"/>
        <v>0</v>
      </c>
      <c r="H126" s="645">
        <f t="shared" si="20"/>
        <v>0</v>
      </c>
      <c r="I126" s="628">
        <f t="shared" si="19"/>
        <v>0</v>
      </c>
      <c r="J126" s="685">
        <f t="shared" si="11"/>
        <v>0</v>
      </c>
      <c r="K126" s="685"/>
      <c r="L126" s="130"/>
      <c r="M126" s="685">
        <f t="shared" si="12"/>
        <v>0</v>
      </c>
      <c r="N126" s="130"/>
      <c r="O126" s="685">
        <f t="shared" si="13"/>
        <v>0</v>
      </c>
      <c r="P126" s="685">
        <f t="shared" si="14"/>
        <v>0</v>
      </c>
    </row>
    <row r="127" spans="2:16">
      <c r="B127" t="str">
        <f t="shared" si="9"/>
        <v/>
      </c>
      <c r="C127" s="678">
        <f>IF(D94="","-",+C126+1)</f>
        <v>2049</v>
      </c>
      <c r="D127" s="679">
        <f>IF(F126+SUM(E$100:E126)=D$93,F126,D$93-SUM(E$100:E126))</f>
        <v>0</v>
      </c>
      <c r="E127" s="510">
        <f t="shared" si="15"/>
        <v>0</v>
      </c>
      <c r="F127" s="681">
        <f t="shared" si="16"/>
        <v>0</v>
      </c>
      <c r="G127" s="681">
        <f t="shared" si="17"/>
        <v>0</v>
      </c>
      <c r="H127" s="645">
        <f t="shared" si="20"/>
        <v>0</v>
      </c>
      <c r="I127" s="628">
        <f t="shared" si="19"/>
        <v>0</v>
      </c>
      <c r="J127" s="685">
        <f t="shared" si="11"/>
        <v>0</v>
      </c>
      <c r="K127" s="685"/>
      <c r="L127" s="130"/>
      <c r="M127" s="685">
        <f t="shared" si="12"/>
        <v>0</v>
      </c>
      <c r="N127" s="130"/>
      <c r="O127" s="685">
        <f t="shared" si="13"/>
        <v>0</v>
      </c>
      <c r="P127" s="685">
        <f t="shared" si="14"/>
        <v>0</v>
      </c>
    </row>
    <row r="128" spans="2:16">
      <c r="B128" t="str">
        <f t="shared" si="9"/>
        <v/>
      </c>
      <c r="C128" s="678">
        <f>IF(D94="","-",+C127+1)</f>
        <v>2050</v>
      </c>
      <c r="D128" s="679">
        <f>IF(F127+SUM(E$100:E127)=D$93,F127,D$93-SUM(E$100:E127))</f>
        <v>0</v>
      </c>
      <c r="E128" s="510">
        <f t="shared" si="15"/>
        <v>0</v>
      </c>
      <c r="F128" s="681">
        <f t="shared" si="16"/>
        <v>0</v>
      </c>
      <c r="G128" s="681">
        <f t="shared" si="17"/>
        <v>0</v>
      </c>
      <c r="H128" s="645">
        <f t="shared" si="20"/>
        <v>0</v>
      </c>
      <c r="I128" s="628">
        <f t="shared" si="19"/>
        <v>0</v>
      </c>
      <c r="J128" s="685">
        <f t="shared" si="11"/>
        <v>0</v>
      </c>
      <c r="K128" s="685"/>
      <c r="L128" s="130"/>
      <c r="M128" s="685">
        <f t="shared" si="12"/>
        <v>0</v>
      </c>
      <c r="N128" s="130"/>
      <c r="O128" s="685">
        <f t="shared" si="13"/>
        <v>0</v>
      </c>
      <c r="P128" s="685">
        <f t="shared" si="14"/>
        <v>0</v>
      </c>
    </row>
    <row r="129" spans="2:16">
      <c r="B129" t="str">
        <f t="shared" si="9"/>
        <v/>
      </c>
      <c r="C129" s="678">
        <f>IF(D94="","-",+C128+1)</f>
        <v>2051</v>
      </c>
      <c r="D129" s="679">
        <f>IF(F128+SUM(E$100:E128)=D$93,F128,D$93-SUM(E$100:E128))</f>
        <v>0</v>
      </c>
      <c r="E129" s="510">
        <f t="shared" si="15"/>
        <v>0</v>
      </c>
      <c r="F129" s="681">
        <f t="shared" si="16"/>
        <v>0</v>
      </c>
      <c r="G129" s="681">
        <f t="shared" si="17"/>
        <v>0</v>
      </c>
      <c r="H129" s="645">
        <f t="shared" si="20"/>
        <v>0</v>
      </c>
      <c r="I129" s="628">
        <f t="shared" si="19"/>
        <v>0</v>
      </c>
      <c r="J129" s="685">
        <f t="shared" si="11"/>
        <v>0</v>
      </c>
      <c r="K129" s="685"/>
      <c r="L129" s="130"/>
      <c r="M129" s="685">
        <f t="shared" si="12"/>
        <v>0</v>
      </c>
      <c r="N129" s="130"/>
      <c r="O129" s="685">
        <f t="shared" si="13"/>
        <v>0</v>
      </c>
      <c r="P129" s="685">
        <f t="shared" si="14"/>
        <v>0</v>
      </c>
    </row>
    <row r="130" spans="2:16">
      <c r="B130" t="str">
        <f t="shared" si="9"/>
        <v/>
      </c>
      <c r="C130" s="678">
        <f>IF(D94="","-",+C129+1)</f>
        <v>2052</v>
      </c>
      <c r="D130" s="679">
        <f>IF(F129+SUM(E$100:E129)=D$93,F129,D$93-SUM(E$100:E129))</f>
        <v>0</v>
      </c>
      <c r="E130" s="510">
        <f t="shared" si="15"/>
        <v>0</v>
      </c>
      <c r="F130" s="681">
        <f t="shared" si="16"/>
        <v>0</v>
      </c>
      <c r="G130" s="681">
        <f t="shared" si="17"/>
        <v>0</v>
      </c>
      <c r="H130" s="645">
        <f t="shared" si="20"/>
        <v>0</v>
      </c>
      <c r="I130" s="628">
        <f t="shared" si="19"/>
        <v>0</v>
      </c>
      <c r="J130" s="685">
        <f t="shared" si="11"/>
        <v>0</v>
      </c>
      <c r="K130" s="685"/>
      <c r="L130" s="130"/>
      <c r="M130" s="685">
        <f t="shared" si="12"/>
        <v>0</v>
      </c>
      <c r="N130" s="130"/>
      <c r="O130" s="685">
        <f t="shared" si="13"/>
        <v>0</v>
      </c>
      <c r="P130" s="685">
        <f t="shared" si="14"/>
        <v>0</v>
      </c>
    </row>
    <row r="131" spans="2:16">
      <c r="B131" t="str">
        <f t="shared" si="9"/>
        <v/>
      </c>
      <c r="C131" s="678">
        <f>IF(D94="","-",+C130+1)</f>
        <v>2053</v>
      </c>
      <c r="D131" s="679">
        <f>IF(F130+SUM(E$100:E130)=D$93,F130,D$93-SUM(E$100:E130))</f>
        <v>0</v>
      </c>
      <c r="E131" s="510">
        <f t="shared" si="15"/>
        <v>0</v>
      </c>
      <c r="F131" s="681">
        <f t="shared" si="16"/>
        <v>0</v>
      </c>
      <c r="G131" s="681">
        <f t="shared" si="17"/>
        <v>0</v>
      </c>
      <c r="H131" s="645">
        <f t="shared" si="20"/>
        <v>0</v>
      </c>
      <c r="I131" s="628">
        <f t="shared" si="19"/>
        <v>0</v>
      </c>
      <c r="J131" s="685">
        <f t="shared" si="11"/>
        <v>0</v>
      </c>
      <c r="K131" s="685"/>
      <c r="L131" s="130"/>
      <c r="M131" s="685">
        <f t="shared" si="12"/>
        <v>0</v>
      </c>
      <c r="N131" s="130"/>
      <c r="O131" s="685">
        <f t="shared" si="13"/>
        <v>0</v>
      </c>
      <c r="P131" s="685">
        <f t="shared" si="14"/>
        <v>0</v>
      </c>
    </row>
    <row r="132" spans="2:16">
      <c r="B132" t="str">
        <f t="shared" si="9"/>
        <v/>
      </c>
      <c r="C132" s="678">
        <f>IF(D94="","-",+C131+1)</f>
        <v>2054</v>
      </c>
      <c r="D132" s="679">
        <f>IF(F131+SUM(E$100:E131)=D$93,F131,D$93-SUM(E$100:E131))</f>
        <v>0</v>
      </c>
      <c r="E132" s="510">
        <f t="shared" si="15"/>
        <v>0</v>
      </c>
      <c r="F132" s="681">
        <f t="shared" si="16"/>
        <v>0</v>
      </c>
      <c r="G132" s="681">
        <f t="shared" si="17"/>
        <v>0</v>
      </c>
      <c r="H132" s="645">
        <f t="shared" si="20"/>
        <v>0</v>
      </c>
      <c r="I132" s="628">
        <f t="shared" si="19"/>
        <v>0</v>
      </c>
      <c r="J132" s="685">
        <f t="shared" ref="J132:J155" si="21">+I542-H542</f>
        <v>0</v>
      </c>
      <c r="K132" s="685"/>
      <c r="L132" s="130"/>
      <c r="M132" s="685">
        <f t="shared" ref="M132:M155" si="22">IF(L542&lt;&gt;0,+H542-L542,0)</f>
        <v>0</v>
      </c>
      <c r="N132" s="130"/>
      <c r="O132" s="685">
        <f t="shared" ref="O132:O155" si="23">IF(N542&lt;&gt;0,+I542-N542,0)</f>
        <v>0</v>
      </c>
      <c r="P132" s="685">
        <f t="shared" ref="P132:P155" si="24">+O542-M542</f>
        <v>0</v>
      </c>
    </row>
    <row r="133" spans="2:16">
      <c r="B133" t="str">
        <f t="shared" si="9"/>
        <v/>
      </c>
      <c r="C133" s="678">
        <f>IF(D94="","-",+C132+1)</f>
        <v>2055</v>
      </c>
      <c r="D133" s="679">
        <f>IF(F132+SUM(E$100:E132)=D$93,F132,D$93-SUM(E$100:E132))</f>
        <v>0</v>
      </c>
      <c r="E133" s="510">
        <f t="shared" si="15"/>
        <v>0</v>
      </c>
      <c r="F133" s="681">
        <f t="shared" si="16"/>
        <v>0</v>
      </c>
      <c r="G133" s="681">
        <f t="shared" si="17"/>
        <v>0</v>
      </c>
      <c r="H133" s="645">
        <f t="shared" si="20"/>
        <v>0</v>
      </c>
      <c r="I133" s="628">
        <f t="shared" si="19"/>
        <v>0</v>
      </c>
      <c r="J133" s="685">
        <f t="shared" si="21"/>
        <v>0</v>
      </c>
      <c r="K133" s="685"/>
      <c r="L133" s="130"/>
      <c r="M133" s="685">
        <f t="shared" si="22"/>
        <v>0</v>
      </c>
      <c r="N133" s="130"/>
      <c r="O133" s="685">
        <f t="shared" si="23"/>
        <v>0</v>
      </c>
      <c r="P133" s="685">
        <f t="shared" si="24"/>
        <v>0</v>
      </c>
    </row>
    <row r="134" spans="2:16">
      <c r="B134" t="str">
        <f t="shared" si="9"/>
        <v/>
      </c>
      <c r="C134" s="678">
        <f>IF(D94="","-",+C133+1)</f>
        <v>2056</v>
      </c>
      <c r="D134" s="679">
        <f>IF(F133+SUM(E$100:E133)=D$93,F133,D$93-SUM(E$100:E133))</f>
        <v>0</v>
      </c>
      <c r="E134" s="510">
        <f t="shared" si="15"/>
        <v>0</v>
      </c>
      <c r="F134" s="681">
        <f t="shared" si="16"/>
        <v>0</v>
      </c>
      <c r="G134" s="681">
        <f t="shared" si="17"/>
        <v>0</v>
      </c>
      <c r="H134" s="645">
        <f t="shared" si="20"/>
        <v>0</v>
      </c>
      <c r="I134" s="628">
        <f t="shared" si="19"/>
        <v>0</v>
      </c>
      <c r="J134" s="685">
        <f t="shared" si="21"/>
        <v>0</v>
      </c>
      <c r="K134" s="685"/>
      <c r="L134" s="130"/>
      <c r="M134" s="685">
        <f t="shared" si="22"/>
        <v>0</v>
      </c>
      <c r="N134" s="130"/>
      <c r="O134" s="685">
        <f t="shared" si="23"/>
        <v>0</v>
      </c>
      <c r="P134" s="685">
        <f t="shared" si="24"/>
        <v>0</v>
      </c>
    </row>
    <row r="135" spans="2:16">
      <c r="B135" t="str">
        <f t="shared" si="9"/>
        <v/>
      </c>
      <c r="C135" s="678">
        <f>IF(D94="","-",+C134+1)</f>
        <v>2057</v>
      </c>
      <c r="D135" s="679">
        <f>IF(F134+SUM(E$100:E134)=D$93,F134,D$93-SUM(E$100:E134))</f>
        <v>0</v>
      </c>
      <c r="E135" s="510">
        <f t="shared" si="15"/>
        <v>0</v>
      </c>
      <c r="F135" s="681">
        <f t="shared" si="16"/>
        <v>0</v>
      </c>
      <c r="G135" s="681">
        <f t="shared" si="17"/>
        <v>0</v>
      </c>
      <c r="H135" s="645">
        <f t="shared" si="20"/>
        <v>0</v>
      </c>
      <c r="I135" s="628">
        <f t="shared" si="19"/>
        <v>0</v>
      </c>
      <c r="J135" s="685">
        <f t="shared" si="21"/>
        <v>0</v>
      </c>
      <c r="K135" s="685"/>
      <c r="L135" s="130"/>
      <c r="M135" s="685">
        <f t="shared" si="22"/>
        <v>0</v>
      </c>
      <c r="N135" s="130"/>
      <c r="O135" s="685">
        <f t="shared" si="23"/>
        <v>0</v>
      </c>
      <c r="P135" s="685">
        <f t="shared" si="24"/>
        <v>0</v>
      </c>
    </row>
    <row r="136" spans="2:16">
      <c r="B136" t="str">
        <f t="shared" si="9"/>
        <v/>
      </c>
      <c r="C136" s="678">
        <f>IF(D94="","-",+C135+1)</f>
        <v>2058</v>
      </c>
      <c r="D136" s="679">
        <f>IF(F135+SUM(E$100:E135)=D$93,F135,D$93-SUM(E$100:E135))</f>
        <v>0</v>
      </c>
      <c r="E136" s="510">
        <f t="shared" si="15"/>
        <v>0</v>
      </c>
      <c r="F136" s="681">
        <f t="shared" si="16"/>
        <v>0</v>
      </c>
      <c r="G136" s="681">
        <f t="shared" si="17"/>
        <v>0</v>
      </c>
      <c r="H136" s="645">
        <f t="shared" si="20"/>
        <v>0</v>
      </c>
      <c r="I136" s="628">
        <f t="shared" si="19"/>
        <v>0</v>
      </c>
      <c r="J136" s="685">
        <f t="shared" si="21"/>
        <v>0</v>
      </c>
      <c r="K136" s="685"/>
      <c r="L136" s="130"/>
      <c r="M136" s="685">
        <f t="shared" si="22"/>
        <v>0</v>
      </c>
      <c r="N136" s="130"/>
      <c r="O136" s="685">
        <f t="shared" si="23"/>
        <v>0</v>
      </c>
      <c r="P136" s="685">
        <f t="shared" si="24"/>
        <v>0</v>
      </c>
    </row>
    <row r="137" spans="2:16">
      <c r="B137" t="str">
        <f t="shared" si="9"/>
        <v/>
      </c>
      <c r="C137" s="678">
        <f>IF(D94="","-",+C136+1)</f>
        <v>2059</v>
      </c>
      <c r="D137" s="679">
        <f>IF(F136+SUM(E$100:E136)=D$93,F136,D$93-SUM(E$100:E136))</f>
        <v>0</v>
      </c>
      <c r="E137" s="510">
        <f t="shared" si="15"/>
        <v>0</v>
      </c>
      <c r="F137" s="681">
        <f t="shared" si="16"/>
        <v>0</v>
      </c>
      <c r="G137" s="681">
        <f t="shared" si="17"/>
        <v>0</v>
      </c>
      <c r="H137" s="645">
        <f t="shared" si="20"/>
        <v>0</v>
      </c>
      <c r="I137" s="628">
        <f t="shared" si="19"/>
        <v>0</v>
      </c>
      <c r="J137" s="685">
        <f t="shared" si="21"/>
        <v>0</v>
      </c>
      <c r="K137" s="685"/>
      <c r="L137" s="130"/>
      <c r="M137" s="685">
        <f t="shared" si="22"/>
        <v>0</v>
      </c>
      <c r="N137" s="130"/>
      <c r="O137" s="685">
        <f t="shared" si="23"/>
        <v>0</v>
      </c>
      <c r="P137" s="685">
        <f t="shared" si="24"/>
        <v>0</v>
      </c>
    </row>
    <row r="138" spans="2:16">
      <c r="B138" t="str">
        <f t="shared" si="9"/>
        <v/>
      </c>
      <c r="C138" s="678">
        <f>IF(D94="","-",+C137+1)</f>
        <v>2060</v>
      </c>
      <c r="D138" s="679">
        <f>IF(F137+SUM(E$100:E137)=D$93,F137,D$93-SUM(E$100:E137))</f>
        <v>0</v>
      </c>
      <c r="E138" s="510">
        <f t="shared" si="15"/>
        <v>0</v>
      </c>
      <c r="F138" s="681">
        <f t="shared" si="16"/>
        <v>0</v>
      </c>
      <c r="G138" s="681">
        <f t="shared" si="17"/>
        <v>0</v>
      </c>
      <c r="H138" s="645">
        <f t="shared" si="20"/>
        <v>0</v>
      </c>
      <c r="I138" s="628">
        <f t="shared" si="19"/>
        <v>0</v>
      </c>
      <c r="J138" s="685">
        <f t="shared" si="21"/>
        <v>0</v>
      </c>
      <c r="K138" s="685"/>
      <c r="L138" s="130"/>
      <c r="M138" s="685">
        <f t="shared" si="22"/>
        <v>0</v>
      </c>
      <c r="N138" s="130"/>
      <c r="O138" s="685">
        <f t="shared" si="23"/>
        <v>0</v>
      </c>
      <c r="P138" s="685">
        <f t="shared" si="24"/>
        <v>0</v>
      </c>
    </row>
    <row r="139" spans="2:16">
      <c r="B139" t="str">
        <f t="shared" si="9"/>
        <v/>
      </c>
      <c r="C139" s="678">
        <f>IF(D94="","-",+C138+1)</f>
        <v>2061</v>
      </c>
      <c r="D139" s="679">
        <f>IF(F138+SUM(E$100:E138)=D$93,F138,D$93-SUM(E$100:E138))</f>
        <v>0</v>
      </c>
      <c r="E139" s="510">
        <f t="shared" si="15"/>
        <v>0</v>
      </c>
      <c r="F139" s="681">
        <f t="shared" si="16"/>
        <v>0</v>
      </c>
      <c r="G139" s="681">
        <f t="shared" si="17"/>
        <v>0</v>
      </c>
      <c r="H139" s="645">
        <f t="shared" si="20"/>
        <v>0</v>
      </c>
      <c r="I139" s="628">
        <f t="shared" si="19"/>
        <v>0</v>
      </c>
      <c r="J139" s="685">
        <f t="shared" si="21"/>
        <v>0</v>
      </c>
      <c r="K139" s="685"/>
      <c r="L139" s="130"/>
      <c r="M139" s="685">
        <f t="shared" si="22"/>
        <v>0</v>
      </c>
      <c r="N139" s="130"/>
      <c r="O139" s="685">
        <f t="shared" si="23"/>
        <v>0</v>
      </c>
      <c r="P139" s="685">
        <f t="shared" si="24"/>
        <v>0</v>
      </c>
    </row>
    <row r="140" spans="2:16">
      <c r="B140" t="str">
        <f t="shared" si="9"/>
        <v/>
      </c>
      <c r="C140" s="678">
        <f>IF(D94="","-",+C139+1)</f>
        <v>2062</v>
      </c>
      <c r="D140" s="679">
        <f>IF(F139+SUM(E$100:E139)=D$93,F139,D$93-SUM(E$100:E139))</f>
        <v>0</v>
      </c>
      <c r="E140" s="510">
        <f t="shared" si="15"/>
        <v>0</v>
      </c>
      <c r="F140" s="681">
        <f t="shared" si="16"/>
        <v>0</v>
      </c>
      <c r="G140" s="681">
        <f t="shared" si="17"/>
        <v>0</v>
      </c>
      <c r="H140" s="645">
        <f t="shared" si="20"/>
        <v>0</v>
      </c>
      <c r="I140" s="628">
        <f t="shared" si="19"/>
        <v>0</v>
      </c>
      <c r="J140" s="685">
        <f t="shared" si="21"/>
        <v>0</v>
      </c>
      <c r="K140" s="685"/>
      <c r="L140" s="130"/>
      <c r="M140" s="685">
        <f t="shared" si="22"/>
        <v>0</v>
      </c>
      <c r="N140" s="130"/>
      <c r="O140" s="685">
        <f t="shared" si="23"/>
        <v>0</v>
      </c>
      <c r="P140" s="685">
        <f t="shared" si="24"/>
        <v>0</v>
      </c>
    </row>
    <row r="141" spans="2:16">
      <c r="B141" t="str">
        <f t="shared" si="9"/>
        <v/>
      </c>
      <c r="C141" s="678">
        <f>IF(D94="","-",+C140+1)</f>
        <v>2063</v>
      </c>
      <c r="D141" s="679">
        <f>IF(F140+SUM(E$100:E140)=D$93,F140,D$93-SUM(E$100:E140))</f>
        <v>0</v>
      </c>
      <c r="E141" s="510">
        <f t="shared" si="15"/>
        <v>0</v>
      </c>
      <c r="F141" s="681">
        <f t="shared" si="16"/>
        <v>0</v>
      </c>
      <c r="G141" s="681">
        <f t="shared" si="17"/>
        <v>0</v>
      </c>
      <c r="H141" s="645">
        <f t="shared" si="20"/>
        <v>0</v>
      </c>
      <c r="I141" s="628">
        <f t="shared" si="19"/>
        <v>0</v>
      </c>
      <c r="J141" s="685">
        <f t="shared" si="21"/>
        <v>0</v>
      </c>
      <c r="K141" s="685"/>
      <c r="L141" s="130"/>
      <c r="M141" s="685">
        <f t="shared" si="22"/>
        <v>0</v>
      </c>
      <c r="N141" s="130"/>
      <c r="O141" s="685">
        <f t="shared" si="23"/>
        <v>0</v>
      </c>
      <c r="P141" s="685">
        <f t="shared" si="24"/>
        <v>0</v>
      </c>
    </row>
    <row r="142" spans="2:16">
      <c r="B142" t="str">
        <f t="shared" si="9"/>
        <v/>
      </c>
      <c r="C142" s="678">
        <f>IF(D94="","-",+C141+1)</f>
        <v>2064</v>
      </c>
      <c r="D142" s="679">
        <f>IF(F141+SUM(E$100:E141)=D$93,F141,D$93-SUM(E$100:E141))</f>
        <v>0</v>
      </c>
      <c r="E142" s="510">
        <f t="shared" si="15"/>
        <v>0</v>
      </c>
      <c r="F142" s="681">
        <f t="shared" si="16"/>
        <v>0</v>
      </c>
      <c r="G142" s="681">
        <f t="shared" si="17"/>
        <v>0</v>
      </c>
      <c r="H142" s="645">
        <f t="shared" si="20"/>
        <v>0</v>
      </c>
      <c r="I142" s="628">
        <f t="shared" si="19"/>
        <v>0</v>
      </c>
      <c r="J142" s="685">
        <f t="shared" si="21"/>
        <v>0</v>
      </c>
      <c r="K142" s="685"/>
      <c r="L142" s="130"/>
      <c r="M142" s="685">
        <f t="shared" si="22"/>
        <v>0</v>
      </c>
      <c r="N142" s="130"/>
      <c r="O142" s="685">
        <f t="shared" si="23"/>
        <v>0</v>
      </c>
      <c r="P142" s="685">
        <f t="shared" si="24"/>
        <v>0</v>
      </c>
    </row>
    <row r="143" spans="2:16">
      <c r="B143" t="str">
        <f t="shared" si="9"/>
        <v/>
      </c>
      <c r="C143" s="678">
        <f>IF(D94="","-",+C142+1)</f>
        <v>2065</v>
      </c>
      <c r="D143" s="679">
        <f>IF(F142+SUM(E$100:E142)=D$93,F142,D$93-SUM(E$100:E142))</f>
        <v>0</v>
      </c>
      <c r="E143" s="510">
        <f t="shared" si="15"/>
        <v>0</v>
      </c>
      <c r="F143" s="681">
        <f t="shared" si="16"/>
        <v>0</v>
      </c>
      <c r="G143" s="681">
        <f t="shared" si="17"/>
        <v>0</v>
      </c>
      <c r="H143" s="645">
        <f t="shared" si="20"/>
        <v>0</v>
      </c>
      <c r="I143" s="628">
        <f t="shared" si="19"/>
        <v>0</v>
      </c>
      <c r="J143" s="685">
        <f t="shared" si="21"/>
        <v>0</v>
      </c>
      <c r="K143" s="685"/>
      <c r="L143" s="130"/>
      <c r="M143" s="685">
        <f t="shared" si="22"/>
        <v>0</v>
      </c>
      <c r="N143" s="130"/>
      <c r="O143" s="685">
        <f t="shared" si="23"/>
        <v>0</v>
      </c>
      <c r="P143" s="685">
        <f t="shared" si="24"/>
        <v>0</v>
      </c>
    </row>
    <row r="144" spans="2:16">
      <c r="B144" t="str">
        <f t="shared" si="9"/>
        <v/>
      </c>
      <c r="C144" s="678">
        <f>IF(D94="","-",+C143+1)</f>
        <v>2066</v>
      </c>
      <c r="D144" s="679">
        <f>IF(F143+SUM(E$100:E143)=D$93,F143,D$93-SUM(E$100:E143))</f>
        <v>0</v>
      </c>
      <c r="E144" s="510">
        <f t="shared" si="15"/>
        <v>0</v>
      </c>
      <c r="F144" s="681">
        <f t="shared" si="16"/>
        <v>0</v>
      </c>
      <c r="G144" s="681">
        <f t="shared" si="17"/>
        <v>0</v>
      </c>
      <c r="H144" s="645">
        <f t="shared" si="20"/>
        <v>0</v>
      </c>
      <c r="I144" s="628">
        <f t="shared" si="19"/>
        <v>0</v>
      </c>
      <c r="J144" s="685">
        <f t="shared" si="21"/>
        <v>0</v>
      </c>
      <c r="K144" s="685"/>
      <c r="L144" s="130"/>
      <c r="M144" s="685">
        <f t="shared" si="22"/>
        <v>0</v>
      </c>
      <c r="N144" s="130"/>
      <c r="O144" s="685">
        <f t="shared" si="23"/>
        <v>0</v>
      </c>
      <c r="P144" s="685">
        <f t="shared" si="24"/>
        <v>0</v>
      </c>
    </row>
    <row r="145" spans="2:16">
      <c r="B145" t="str">
        <f t="shared" si="9"/>
        <v/>
      </c>
      <c r="C145" s="678">
        <f>IF(D94="","-",+C144+1)</f>
        <v>2067</v>
      </c>
      <c r="D145" s="679">
        <f>IF(F144+SUM(E$100:E144)=D$93,F144,D$93-SUM(E$100:E144))</f>
        <v>0</v>
      </c>
      <c r="E145" s="510">
        <f t="shared" si="15"/>
        <v>0</v>
      </c>
      <c r="F145" s="681">
        <f t="shared" si="16"/>
        <v>0</v>
      </c>
      <c r="G145" s="681">
        <f t="shared" si="17"/>
        <v>0</v>
      </c>
      <c r="H145" s="645">
        <f t="shared" si="20"/>
        <v>0</v>
      </c>
      <c r="I145" s="628">
        <f t="shared" si="19"/>
        <v>0</v>
      </c>
      <c r="J145" s="685">
        <f t="shared" si="21"/>
        <v>0</v>
      </c>
      <c r="K145" s="685"/>
      <c r="L145" s="130"/>
      <c r="M145" s="685">
        <f t="shared" si="22"/>
        <v>0</v>
      </c>
      <c r="N145" s="130"/>
      <c r="O145" s="685">
        <f t="shared" si="23"/>
        <v>0</v>
      </c>
      <c r="P145" s="685">
        <f t="shared" si="24"/>
        <v>0</v>
      </c>
    </row>
    <row r="146" spans="2:16">
      <c r="B146" t="str">
        <f t="shared" si="9"/>
        <v/>
      </c>
      <c r="C146" s="678">
        <f>IF(D94="","-",+C145+1)</f>
        <v>2068</v>
      </c>
      <c r="D146" s="679">
        <f>IF(F145+SUM(E$100:E145)=D$93,F145,D$93-SUM(E$100:E145))</f>
        <v>0</v>
      </c>
      <c r="E146" s="510">
        <f t="shared" si="15"/>
        <v>0</v>
      </c>
      <c r="F146" s="681">
        <f t="shared" si="16"/>
        <v>0</v>
      </c>
      <c r="G146" s="681">
        <f t="shared" si="17"/>
        <v>0</v>
      </c>
      <c r="H146" s="645">
        <f t="shared" si="20"/>
        <v>0</v>
      </c>
      <c r="I146" s="628">
        <f t="shared" si="19"/>
        <v>0</v>
      </c>
      <c r="J146" s="685">
        <f t="shared" si="21"/>
        <v>0</v>
      </c>
      <c r="K146" s="685"/>
      <c r="L146" s="130"/>
      <c r="M146" s="685">
        <f t="shared" si="22"/>
        <v>0</v>
      </c>
      <c r="N146" s="130"/>
      <c r="O146" s="685">
        <f t="shared" si="23"/>
        <v>0</v>
      </c>
      <c r="P146" s="685">
        <f t="shared" si="24"/>
        <v>0</v>
      </c>
    </row>
    <row r="147" spans="2:16">
      <c r="B147" t="str">
        <f t="shared" si="9"/>
        <v/>
      </c>
      <c r="C147" s="678">
        <f>IF(D94="","-",+C146+1)</f>
        <v>2069</v>
      </c>
      <c r="D147" s="679">
        <f>IF(F146+SUM(E$100:E146)=D$93,F146,D$93-SUM(E$100:E146))</f>
        <v>0</v>
      </c>
      <c r="E147" s="510">
        <f t="shared" si="15"/>
        <v>0</v>
      </c>
      <c r="F147" s="681">
        <f t="shared" si="16"/>
        <v>0</v>
      </c>
      <c r="G147" s="681">
        <f t="shared" si="17"/>
        <v>0</v>
      </c>
      <c r="H147" s="645">
        <f t="shared" si="20"/>
        <v>0</v>
      </c>
      <c r="I147" s="628">
        <f t="shared" si="19"/>
        <v>0</v>
      </c>
      <c r="J147" s="685">
        <f t="shared" si="21"/>
        <v>0</v>
      </c>
      <c r="K147" s="685"/>
      <c r="L147" s="130"/>
      <c r="M147" s="685">
        <f t="shared" si="22"/>
        <v>0</v>
      </c>
      <c r="N147" s="130"/>
      <c r="O147" s="685">
        <f t="shared" si="23"/>
        <v>0</v>
      </c>
      <c r="P147" s="685">
        <f t="shared" si="24"/>
        <v>0</v>
      </c>
    </row>
    <row r="148" spans="2:16">
      <c r="B148" t="str">
        <f t="shared" si="9"/>
        <v/>
      </c>
      <c r="C148" s="678">
        <f>IF(D94="","-",+C147+1)</f>
        <v>2070</v>
      </c>
      <c r="D148" s="679">
        <f>IF(F147+SUM(E$100:E147)=D$93,F147,D$93-SUM(E$100:E147))</f>
        <v>0</v>
      </c>
      <c r="E148" s="510">
        <f t="shared" si="15"/>
        <v>0</v>
      </c>
      <c r="F148" s="681">
        <f t="shared" si="16"/>
        <v>0</v>
      </c>
      <c r="G148" s="681">
        <f t="shared" si="17"/>
        <v>0</v>
      </c>
      <c r="H148" s="645">
        <f t="shared" si="20"/>
        <v>0</v>
      </c>
      <c r="I148" s="628">
        <f t="shared" si="19"/>
        <v>0</v>
      </c>
      <c r="J148" s="685">
        <f t="shared" si="21"/>
        <v>0</v>
      </c>
      <c r="K148" s="685"/>
      <c r="L148" s="130"/>
      <c r="M148" s="685">
        <f t="shared" si="22"/>
        <v>0</v>
      </c>
      <c r="N148" s="130"/>
      <c r="O148" s="685">
        <f t="shared" si="23"/>
        <v>0</v>
      </c>
      <c r="P148" s="685">
        <f t="shared" si="24"/>
        <v>0</v>
      </c>
    </row>
    <row r="149" spans="2:16">
      <c r="B149" t="str">
        <f t="shared" si="9"/>
        <v/>
      </c>
      <c r="C149" s="678">
        <f>IF(D94="","-",+C148+1)</f>
        <v>2071</v>
      </c>
      <c r="D149" s="679">
        <f>IF(F148+SUM(E$100:E148)=D$93,F148,D$93-SUM(E$100:E148))</f>
        <v>0</v>
      </c>
      <c r="E149" s="510">
        <f t="shared" si="15"/>
        <v>0</v>
      </c>
      <c r="F149" s="681">
        <f t="shared" si="16"/>
        <v>0</v>
      </c>
      <c r="G149" s="681">
        <f t="shared" si="17"/>
        <v>0</v>
      </c>
      <c r="H149" s="645">
        <f t="shared" si="20"/>
        <v>0</v>
      </c>
      <c r="I149" s="628">
        <f t="shared" si="19"/>
        <v>0</v>
      </c>
      <c r="J149" s="685">
        <f t="shared" si="21"/>
        <v>0</v>
      </c>
      <c r="K149" s="685"/>
      <c r="L149" s="130"/>
      <c r="M149" s="685">
        <f t="shared" si="22"/>
        <v>0</v>
      </c>
      <c r="N149" s="130"/>
      <c r="O149" s="685">
        <f t="shared" si="23"/>
        <v>0</v>
      </c>
      <c r="P149" s="685">
        <f t="shared" si="24"/>
        <v>0</v>
      </c>
    </row>
    <row r="150" spans="2:16">
      <c r="B150" t="str">
        <f t="shared" si="9"/>
        <v/>
      </c>
      <c r="C150" s="678">
        <f>IF(D94="","-",+C149+1)</f>
        <v>2072</v>
      </c>
      <c r="D150" s="679">
        <f>IF(F149+SUM(E$100:E149)=D$93,F149,D$93-SUM(E$100:E149))</f>
        <v>0</v>
      </c>
      <c r="E150" s="510">
        <f t="shared" si="15"/>
        <v>0</v>
      </c>
      <c r="F150" s="681">
        <f t="shared" si="16"/>
        <v>0</v>
      </c>
      <c r="G150" s="681">
        <f t="shared" si="17"/>
        <v>0</v>
      </c>
      <c r="H150" s="645">
        <f t="shared" si="20"/>
        <v>0</v>
      </c>
      <c r="I150" s="628">
        <f t="shared" si="19"/>
        <v>0</v>
      </c>
      <c r="J150" s="685">
        <f t="shared" si="21"/>
        <v>0</v>
      </c>
      <c r="K150" s="685"/>
      <c r="L150" s="130"/>
      <c r="M150" s="685">
        <f t="shared" si="22"/>
        <v>0</v>
      </c>
      <c r="N150" s="130"/>
      <c r="O150" s="685">
        <f t="shared" si="23"/>
        <v>0</v>
      </c>
      <c r="P150" s="685">
        <f t="shared" si="24"/>
        <v>0</v>
      </c>
    </row>
    <row r="151" spans="2:16">
      <c r="B151" t="str">
        <f t="shared" si="9"/>
        <v/>
      </c>
      <c r="C151" s="678">
        <f>IF(D94="","-",+C150+1)</f>
        <v>2073</v>
      </c>
      <c r="D151" s="679">
        <f>IF(F150+SUM(E$100:E150)=D$93,F150,D$93-SUM(E$100:E150))</f>
        <v>0</v>
      </c>
      <c r="E151" s="510">
        <f t="shared" si="15"/>
        <v>0</v>
      </c>
      <c r="F151" s="681">
        <f t="shared" si="16"/>
        <v>0</v>
      </c>
      <c r="G151" s="681">
        <f t="shared" si="17"/>
        <v>0</v>
      </c>
      <c r="H151" s="645">
        <f t="shared" si="20"/>
        <v>0</v>
      </c>
      <c r="I151" s="628">
        <f t="shared" si="19"/>
        <v>0</v>
      </c>
      <c r="J151" s="685">
        <f t="shared" si="21"/>
        <v>0</v>
      </c>
      <c r="K151" s="685"/>
      <c r="L151" s="130"/>
      <c r="M151" s="685">
        <f t="shared" si="22"/>
        <v>0</v>
      </c>
      <c r="N151" s="130"/>
      <c r="O151" s="685">
        <f t="shared" si="23"/>
        <v>0</v>
      </c>
      <c r="P151" s="685">
        <f t="shared" si="24"/>
        <v>0</v>
      </c>
    </row>
    <row r="152" spans="2:16">
      <c r="B152" t="str">
        <f t="shared" si="9"/>
        <v/>
      </c>
      <c r="C152" s="678">
        <f>IF(D94="","-",+C151+1)</f>
        <v>2074</v>
      </c>
      <c r="D152" s="679">
        <f>IF(F151+SUM(E$100:E151)=D$93,F151,D$93-SUM(E$100:E151))</f>
        <v>0</v>
      </c>
      <c r="E152" s="510">
        <f t="shared" si="15"/>
        <v>0</v>
      </c>
      <c r="F152" s="681">
        <f t="shared" si="16"/>
        <v>0</v>
      </c>
      <c r="G152" s="681">
        <f t="shared" si="17"/>
        <v>0</v>
      </c>
      <c r="H152" s="645">
        <f t="shared" si="20"/>
        <v>0</v>
      </c>
      <c r="I152" s="628">
        <f t="shared" si="19"/>
        <v>0</v>
      </c>
      <c r="J152" s="685">
        <f t="shared" si="21"/>
        <v>0</v>
      </c>
      <c r="K152" s="685"/>
      <c r="L152" s="130"/>
      <c r="M152" s="685">
        <f t="shared" si="22"/>
        <v>0</v>
      </c>
      <c r="N152" s="130"/>
      <c r="O152" s="685">
        <f t="shared" si="23"/>
        <v>0</v>
      </c>
      <c r="P152" s="685">
        <f t="shared" si="24"/>
        <v>0</v>
      </c>
    </row>
    <row r="153" spans="2:16">
      <c r="B153" t="str">
        <f t="shared" si="9"/>
        <v/>
      </c>
      <c r="C153" s="678">
        <f>IF(D94="","-",+C152+1)</f>
        <v>2075</v>
      </c>
      <c r="D153" s="679">
        <f>IF(F152+SUM(E$100:E152)=D$93,F152,D$93-SUM(E$100:E152))</f>
        <v>0</v>
      </c>
      <c r="E153" s="510">
        <f t="shared" si="15"/>
        <v>0</v>
      </c>
      <c r="F153" s="681">
        <f t="shared" si="16"/>
        <v>0</v>
      </c>
      <c r="G153" s="681">
        <f t="shared" si="17"/>
        <v>0</v>
      </c>
      <c r="H153" s="645">
        <f t="shared" si="20"/>
        <v>0</v>
      </c>
      <c r="I153" s="628">
        <f t="shared" si="19"/>
        <v>0</v>
      </c>
      <c r="J153" s="685">
        <f t="shared" si="21"/>
        <v>0</v>
      </c>
      <c r="K153" s="685"/>
      <c r="L153" s="130"/>
      <c r="M153" s="685">
        <f t="shared" si="22"/>
        <v>0</v>
      </c>
      <c r="N153" s="130"/>
      <c r="O153" s="685">
        <f t="shared" si="23"/>
        <v>0</v>
      </c>
      <c r="P153" s="685">
        <f t="shared" si="24"/>
        <v>0</v>
      </c>
    </row>
    <row r="154" spans="2:16">
      <c r="B154" t="str">
        <f t="shared" si="9"/>
        <v/>
      </c>
      <c r="C154" s="678">
        <f>IF(D94="","-",+C153+1)</f>
        <v>2076</v>
      </c>
      <c r="D154" s="679">
        <f>IF(F153+SUM(E$100:E153)=D$93,F153,D$93-SUM(E$100:E153))</f>
        <v>0</v>
      </c>
      <c r="E154" s="510">
        <f t="shared" si="15"/>
        <v>0</v>
      </c>
      <c r="F154" s="681">
        <f t="shared" si="16"/>
        <v>0</v>
      </c>
      <c r="G154" s="681">
        <f t="shared" si="17"/>
        <v>0</v>
      </c>
      <c r="H154" s="645">
        <f t="shared" si="20"/>
        <v>0</v>
      </c>
      <c r="I154" s="628">
        <f t="shared" si="19"/>
        <v>0</v>
      </c>
      <c r="J154" s="685">
        <f t="shared" si="21"/>
        <v>0</v>
      </c>
      <c r="K154" s="685"/>
      <c r="L154" s="130"/>
      <c r="M154" s="685">
        <f t="shared" si="22"/>
        <v>0</v>
      </c>
      <c r="N154" s="130"/>
      <c r="O154" s="685">
        <f t="shared" si="23"/>
        <v>0</v>
      </c>
      <c r="P154" s="685">
        <f t="shared" si="24"/>
        <v>0</v>
      </c>
    </row>
    <row r="155" spans="2:16" ht="13" thickBot="1">
      <c r="B155" t="str">
        <f t="shared" si="9"/>
        <v/>
      </c>
      <c r="C155" s="688">
        <f>IF(D94="","-",+C154+1)</f>
        <v>2077</v>
      </c>
      <c r="D155" s="715">
        <f>IF(F154+SUM(E$100:E154)=D$93,F154,D$93-SUM(E$100:E154))</f>
        <v>0</v>
      </c>
      <c r="E155" s="527">
        <f t="shared" si="15"/>
        <v>0</v>
      </c>
      <c r="F155" s="689">
        <f t="shared" si="16"/>
        <v>0</v>
      </c>
      <c r="G155" s="689">
        <f t="shared" si="17"/>
        <v>0</v>
      </c>
      <c r="H155" s="645">
        <f t="shared" si="20"/>
        <v>0</v>
      </c>
      <c r="I155" s="624">
        <f t="shared" si="19"/>
        <v>0</v>
      </c>
      <c r="J155" s="692">
        <f t="shared" si="21"/>
        <v>0</v>
      </c>
      <c r="K155" s="685"/>
      <c r="L155" s="131"/>
      <c r="M155" s="692">
        <f t="shared" si="22"/>
        <v>0</v>
      </c>
      <c r="N155" s="131"/>
      <c r="O155" s="692">
        <f t="shared" si="23"/>
        <v>0</v>
      </c>
      <c r="P155" s="692">
        <f t="shared" si="24"/>
        <v>0</v>
      </c>
    </row>
    <row r="156" spans="2:16">
      <c r="C156" s="679" t="s">
        <v>75</v>
      </c>
      <c r="D156" s="659"/>
      <c r="E156" s="659">
        <f>SUM(E100:E155)</f>
        <v>0</v>
      </c>
      <c r="F156" s="659"/>
      <c r="G156" s="659"/>
      <c r="H156" s="659">
        <f>SUM(H100:H155)</f>
        <v>0</v>
      </c>
      <c r="I156" s="659">
        <f>SUM(I100:I155)</f>
        <v>0</v>
      </c>
      <c r="J156" s="659">
        <f>SUM(J100:J155)</f>
        <v>0</v>
      </c>
      <c r="K156" s="659"/>
      <c r="L156" s="659"/>
      <c r="M156" s="659"/>
      <c r="N156" s="659"/>
      <c r="O156" s="659"/>
      <c r="P156" s="652"/>
    </row>
    <row r="157" spans="2:16">
      <c r="C157" t="s">
        <v>90</v>
      </c>
      <c r="D157" s="653"/>
      <c r="E157" s="652"/>
      <c r="F157" s="652"/>
      <c r="G157" s="652"/>
      <c r="H157" s="652"/>
      <c r="I157" s="655"/>
      <c r="J157" s="655"/>
      <c r="K157" s="659"/>
      <c r="L157" s="655"/>
      <c r="M157" s="655"/>
      <c r="N157" s="655"/>
      <c r="O157" s="655"/>
      <c r="P157" s="652"/>
    </row>
    <row r="158" spans="2:16">
      <c r="C158" s="100"/>
      <c r="D158" s="653"/>
      <c r="E158" s="652"/>
      <c r="F158" s="652"/>
      <c r="G158" s="652"/>
      <c r="H158" s="652"/>
      <c r="I158" s="655"/>
      <c r="J158" s="655"/>
      <c r="K158" s="659"/>
      <c r="L158" s="655"/>
      <c r="M158" s="655"/>
      <c r="N158" s="655"/>
      <c r="O158" s="655"/>
      <c r="P158" s="652"/>
    </row>
    <row r="159" spans="2:16" ht="13">
      <c r="C159" s="115" t="s">
        <v>130</v>
      </c>
      <c r="D159" s="653"/>
      <c r="E159" s="652"/>
      <c r="F159" s="652"/>
      <c r="G159" s="652"/>
      <c r="H159" s="652"/>
      <c r="I159" s="655"/>
      <c r="J159" s="655"/>
      <c r="K159" s="659"/>
      <c r="L159" s="655"/>
      <c r="M159" s="655"/>
      <c r="N159" s="655"/>
      <c r="O159" s="655"/>
      <c r="P159" s="652"/>
    </row>
    <row r="160" spans="2:16" ht="13">
      <c r="C160" s="662" t="s">
        <v>76</v>
      </c>
      <c r="D160" s="679"/>
      <c r="E160" s="679"/>
      <c r="F160" s="679"/>
      <c r="G160" s="679"/>
      <c r="H160" s="659"/>
      <c r="I160" s="659"/>
      <c r="J160" s="693"/>
      <c r="K160" s="693"/>
      <c r="L160" s="693"/>
      <c r="M160" s="693"/>
      <c r="N160" s="693"/>
      <c r="O160" s="693"/>
      <c r="P160" s="652"/>
    </row>
    <row r="161" spans="3:16" ht="13">
      <c r="C161" s="716" t="s">
        <v>77</v>
      </c>
      <c r="D161" s="679"/>
      <c r="E161" s="679"/>
      <c r="F161" s="679"/>
      <c r="G161" s="679"/>
      <c r="H161" s="659"/>
      <c r="I161" s="659"/>
      <c r="J161" s="693"/>
      <c r="K161" s="693"/>
      <c r="L161" s="693"/>
      <c r="M161" s="693"/>
      <c r="N161" s="693"/>
      <c r="O161" s="693"/>
      <c r="P161" s="652"/>
    </row>
    <row r="162" spans="3:16" ht="13">
      <c r="C162" s="716"/>
      <c r="D162" s="679"/>
      <c r="E162" s="679"/>
      <c r="F162" s="679"/>
      <c r="G162" s="679"/>
      <c r="H162" s="659"/>
      <c r="I162" s="659"/>
      <c r="J162" s="693"/>
      <c r="K162" s="693"/>
      <c r="L162" s="693"/>
      <c r="M162" s="693"/>
      <c r="N162" s="693"/>
      <c r="O162" s="693"/>
      <c r="P162" s="652"/>
    </row>
    <row r="163" spans="3:16" ht="17.5">
      <c r="C163" s="716"/>
      <c r="D163" s="679"/>
      <c r="E163" s="679"/>
      <c r="F163" s="679"/>
      <c r="G163" s="679"/>
      <c r="H163" s="659"/>
      <c r="I163" s="659"/>
      <c r="J163" s="693"/>
      <c r="K163" s="693"/>
      <c r="L163" s="693"/>
      <c r="M163" s="693"/>
      <c r="N163" s="693"/>
      <c r="P163" s="717" t="s">
        <v>129</v>
      </c>
    </row>
  </sheetData>
  <conditionalFormatting sqref="C17:C71 C73">
    <cfRule type="cellIs" dxfId="5" priority="2" stopIfTrue="1" operator="equal">
      <formula>$I$10</formula>
    </cfRule>
  </conditionalFormatting>
  <conditionalFormatting sqref="C100:C155">
    <cfRule type="cellIs" dxfId="4" priority="3" stopIfTrue="1" operator="equal">
      <formula>$J$93</formula>
    </cfRule>
  </conditionalFormatting>
  <conditionalFormatting sqref="C72">
    <cfRule type="cellIs" dxfId="3" priority="1" stopIfTrue="1" operator="equal">
      <formula>$I$10</formula>
    </cfRule>
  </conditionalFormatting>
  <pageMargins left="0.5" right="0.25" top="1" bottom="0.35" header="0.25" footer="0.5"/>
  <pageSetup scale="4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8"/>
  <dimension ref="A1:P163"/>
  <sheetViews>
    <sheetView topLeftCell="F79" zoomScaleNormal="100" workbookViewId="0">
      <selection activeCell="M88" sqref="M88"/>
    </sheetView>
  </sheetViews>
  <sheetFormatPr defaultRowHeight="12.75" customHeight="1"/>
  <cols>
    <col min="1" max="1" width="4.7265625" customWidth="1"/>
    <col min="2" max="2" width="6.7265625" customWidth="1"/>
    <col min="3" max="3" width="23.26953125" customWidth="1"/>
    <col min="4" max="8" width="17.7265625" customWidth="1"/>
    <col min="9" max="9" width="20.453125" customWidth="1"/>
    <col min="10" max="10" width="16.453125" customWidth="1"/>
    <col min="11" max="11" width="17.7265625" customWidth="1"/>
    <col min="12" max="12" width="16.1796875" customWidth="1"/>
    <col min="13" max="13" width="17.7265625" customWidth="1"/>
    <col min="14" max="14" width="16.7265625" customWidth="1"/>
    <col min="15" max="15" width="16.81640625" customWidth="1"/>
    <col min="16" max="16" width="24.453125" customWidth="1"/>
    <col min="17" max="17" width="9.1796875" customWidth="1"/>
    <col min="23" max="23" width="9.1796875" customWidth="1"/>
  </cols>
  <sheetData>
    <row r="1" spans="1:16" ht="20">
      <c r="A1" s="110" t="s">
        <v>189</v>
      </c>
      <c r="B1" s="1"/>
      <c r="C1" s="9"/>
      <c r="D1" s="2"/>
      <c r="E1" s="1"/>
      <c r="F1" s="14"/>
      <c r="G1" s="1"/>
      <c r="H1" s="3"/>
      <c r="J1" s="7"/>
      <c r="K1" s="18"/>
      <c r="L1" s="18"/>
      <c r="M1" s="18"/>
      <c r="P1" s="116" t="str">
        <f ca="1">"OKT Project "&amp;RIGHT(MID(CELL("filename",$A$1),FIND("]",CELL("filename",$A$1))+1,256),2)&amp;" of "&amp;COUNT('OKT.001:OKT.xyz - blank'!$P$3)-1</f>
        <v>OKT Project nk of 23</v>
      </c>
    </row>
    <row r="2" spans="1:16" ht="17.5">
      <c r="B2" s="1"/>
      <c r="C2" s="1"/>
      <c r="D2" s="2"/>
      <c r="E2" s="1"/>
      <c r="F2" s="1"/>
      <c r="G2" s="1"/>
      <c r="H2" s="3"/>
      <c r="I2" s="1"/>
      <c r="J2" s="4"/>
      <c r="K2" s="1"/>
      <c r="L2" s="1"/>
      <c r="M2" s="1"/>
      <c r="N2" s="1"/>
      <c r="P2" s="117" t="s">
        <v>131</v>
      </c>
    </row>
    <row r="3" spans="1:16" ht="18">
      <c r="B3" s="5" t="s">
        <v>42</v>
      </c>
      <c r="C3" s="13" t="s">
        <v>43</v>
      </c>
      <c r="D3" s="2"/>
      <c r="E3" s="1"/>
      <c r="F3" s="1"/>
      <c r="G3" s="1"/>
      <c r="H3" s="3"/>
      <c r="I3" s="3"/>
      <c r="J3" s="19"/>
      <c r="K3" s="3"/>
      <c r="L3" s="3"/>
      <c r="M3" s="3"/>
      <c r="N3" s="3"/>
      <c r="O3" s="1"/>
      <c r="P3" s="108">
        <v>1</v>
      </c>
    </row>
    <row r="4" spans="1:16" ht="16" thickBot="1">
      <c r="C4" s="12"/>
      <c r="D4" s="2"/>
      <c r="E4" s="1"/>
      <c r="F4" s="1"/>
      <c r="G4" s="1"/>
      <c r="H4" s="3"/>
      <c r="I4" s="3"/>
      <c r="J4" s="19"/>
      <c r="K4" s="3"/>
      <c r="L4" s="3"/>
      <c r="M4" s="3"/>
      <c r="N4" s="3"/>
      <c r="O4" s="1"/>
      <c r="P4" s="1"/>
    </row>
    <row r="5" spans="1:16" ht="15.5">
      <c r="C5" s="20" t="s">
        <v>44</v>
      </c>
      <c r="D5" s="2"/>
      <c r="E5" s="1"/>
      <c r="F5" s="1"/>
      <c r="G5" s="21"/>
      <c r="H5" s="1" t="s">
        <v>45</v>
      </c>
      <c r="I5" s="1"/>
      <c r="J5" s="4"/>
      <c r="K5" s="22" t="s">
        <v>242</v>
      </c>
      <c r="L5" s="23"/>
      <c r="M5" s="24"/>
      <c r="N5" s="25">
        <f>VLOOKUP(I10,C17:I73,5)</f>
        <v>0</v>
      </c>
      <c r="P5" s="1"/>
    </row>
    <row r="6" spans="1:16" ht="15.5">
      <c r="C6" s="8"/>
      <c r="D6" s="2"/>
      <c r="E6" s="1"/>
      <c r="F6" s="1"/>
      <c r="G6" s="1"/>
      <c r="H6" s="26"/>
      <c r="I6" s="26"/>
      <c r="J6" s="27"/>
      <c r="K6" s="28" t="s">
        <v>243</v>
      </c>
      <c r="L6" s="29"/>
      <c r="M6" s="4"/>
      <c r="N6" s="30">
        <f>VLOOKUP(I10,C17:I73,6)</f>
        <v>0</v>
      </c>
      <c r="O6" s="1"/>
      <c r="P6" s="1"/>
    </row>
    <row r="7" spans="1:16" ht="13.5" thickBot="1">
      <c r="C7" s="31" t="s">
        <v>46</v>
      </c>
      <c r="D7" s="104" t="s">
        <v>245</v>
      </c>
      <c r="E7" s="1"/>
      <c r="F7" s="1"/>
      <c r="G7" s="1"/>
      <c r="H7" s="3"/>
      <c r="I7" s="3"/>
      <c r="J7" s="19"/>
      <c r="K7" s="32" t="s">
        <v>47</v>
      </c>
      <c r="L7" s="33"/>
      <c r="M7" s="33"/>
      <c r="N7" s="34">
        <f>+N6-N5</f>
        <v>0</v>
      </c>
      <c r="O7" s="1"/>
      <c r="P7" s="1"/>
    </row>
    <row r="8" spans="1:16" ht="13.5" thickBot="1">
      <c r="C8" s="35"/>
      <c r="D8" s="114" t="str">
        <f>IF(D10&lt;100000,"DOES NOT MEET SPP $100,000 MINIMUM INVESTMENT FOR REGIONAL BPU SHARING.","")</f>
        <v>DOES NOT MEET SPP $100,000 MINIMUM INVESTMENT FOR REGIONAL BPU SHARING.</v>
      </c>
      <c r="E8" s="36"/>
      <c r="F8" s="36"/>
      <c r="G8" s="36"/>
      <c r="H8" s="36"/>
      <c r="I8" s="36"/>
      <c r="J8" s="15"/>
      <c r="K8" s="36"/>
      <c r="L8" s="36"/>
      <c r="M8" s="36"/>
      <c r="N8" s="36"/>
      <c r="O8" s="15"/>
      <c r="P8" s="9"/>
    </row>
    <row r="9" spans="1:16" ht="13.5" thickBot="1">
      <c r="C9" s="37" t="s">
        <v>48</v>
      </c>
      <c r="D9" s="106" t="s">
        <v>78</v>
      </c>
      <c r="E9" s="38"/>
      <c r="F9" s="38"/>
      <c r="G9" s="38"/>
      <c r="H9" s="38"/>
      <c r="I9" s="39"/>
      <c r="J9" s="40"/>
      <c r="O9" s="41"/>
      <c r="P9" s="4"/>
    </row>
    <row r="10" spans="1:16" ht="13">
      <c r="C10" s="42" t="s">
        <v>49</v>
      </c>
      <c r="D10" s="43">
        <v>0</v>
      </c>
      <c r="E10" s="11" t="s">
        <v>50</v>
      </c>
      <c r="F10" s="41"/>
      <c r="G10" s="44"/>
      <c r="H10" s="44"/>
      <c r="I10" s="45">
        <f>+'OKT.WS.F.BPU.ATRR.Projected'!R100</f>
        <v>2022</v>
      </c>
      <c r="J10" s="40"/>
      <c r="K10" s="19" t="s">
        <v>51</v>
      </c>
      <c r="O10" s="4"/>
      <c r="P10" s="4"/>
    </row>
    <row r="11" spans="1:16" ht="12.5">
      <c r="C11" s="46" t="s">
        <v>52</v>
      </c>
      <c r="D11" s="47">
        <v>2018</v>
      </c>
      <c r="E11" s="46" t="s">
        <v>53</v>
      </c>
      <c r="F11" s="44"/>
      <c r="G11" s="7"/>
      <c r="H11" s="7"/>
      <c r="I11" s="48">
        <f>IF(G5="",0,'OKT.WS.F.BPU.ATRR.Projected'!F$13)</f>
        <v>0</v>
      </c>
      <c r="J11" s="49"/>
      <c r="K11" t="str">
        <f>"          INPUT PROJECTED ARR (WITH &amp; WITHOUT INCENTIVES) FROM EACH PRIOR YEAR"</f>
        <v xml:space="preserve">          INPUT PROJECTED ARR (WITH &amp; WITHOUT INCENTIVES) FROM EACH PRIOR YEAR</v>
      </c>
      <c r="O11" s="4"/>
      <c r="P11" s="4"/>
    </row>
    <row r="12" spans="1:16" ht="12.5">
      <c r="C12" s="46" t="s">
        <v>54</v>
      </c>
      <c r="D12" s="43">
        <v>4</v>
      </c>
      <c r="E12" s="46" t="s">
        <v>55</v>
      </c>
      <c r="F12" s="44"/>
      <c r="G12" s="7"/>
      <c r="H12" s="7"/>
      <c r="I12" s="50">
        <f>'OKT.WS.F.BPU.ATRR.Projected'!$F$78</f>
        <v>0.11475877389767174</v>
      </c>
      <c r="J12" s="51"/>
      <c r="K12" t="s">
        <v>56</v>
      </c>
      <c r="O12" s="4"/>
      <c r="P12" s="4"/>
    </row>
    <row r="13" spans="1:16" ht="12.5">
      <c r="C13" s="46" t="s">
        <v>57</v>
      </c>
      <c r="D13" s="48">
        <f>+'OKT.WS.F.BPU.ATRR.Projected'!F$89</f>
        <v>33</v>
      </c>
      <c r="E13" s="46" t="s">
        <v>58</v>
      </c>
      <c r="F13" s="44"/>
      <c r="G13" s="7"/>
      <c r="H13" s="7"/>
      <c r="I13" s="50">
        <f>IF(G5="",I12,'OKT.WS.F.BPU.ATRR.Projected'!$F$77)</f>
        <v>0.11475877389767174</v>
      </c>
      <c r="J13" s="51"/>
      <c r="K13" s="19" t="s">
        <v>59</v>
      </c>
      <c r="L13" s="10"/>
      <c r="M13" s="10"/>
      <c r="N13" s="10"/>
      <c r="O13" s="4"/>
      <c r="P13" s="4"/>
    </row>
    <row r="14" spans="1:16" ht="13" thickBot="1">
      <c r="C14" s="46" t="s">
        <v>60</v>
      </c>
      <c r="D14" s="47" t="s">
        <v>61</v>
      </c>
      <c r="E14" s="4" t="s">
        <v>62</v>
      </c>
      <c r="F14" s="44"/>
      <c r="G14" s="7"/>
      <c r="H14" s="7"/>
      <c r="I14" s="52">
        <f>IF(D10=0,0,D10/D13)</f>
        <v>0</v>
      </c>
      <c r="J14" s="19"/>
      <c r="K14" s="19"/>
      <c r="L14" s="19"/>
      <c r="M14" s="19"/>
      <c r="N14" s="19"/>
      <c r="O14" s="4"/>
      <c r="P14" s="4"/>
    </row>
    <row r="15" spans="1:16" ht="39">
      <c r="C15" s="53" t="s">
        <v>49</v>
      </c>
      <c r="D15" s="133" t="s">
        <v>193</v>
      </c>
      <c r="E15" s="54" t="s">
        <v>63</v>
      </c>
      <c r="F15" s="54" t="s">
        <v>64</v>
      </c>
      <c r="G15" s="143" t="s">
        <v>251</v>
      </c>
      <c r="H15" s="144" t="s">
        <v>252</v>
      </c>
      <c r="I15" s="53" t="s">
        <v>65</v>
      </c>
      <c r="J15" s="55"/>
      <c r="K15" s="133" t="s">
        <v>176</v>
      </c>
      <c r="L15" s="134" t="s">
        <v>66</v>
      </c>
      <c r="M15" s="133" t="s">
        <v>176</v>
      </c>
      <c r="N15" s="134" t="s">
        <v>66</v>
      </c>
      <c r="O15" s="56" t="s">
        <v>67</v>
      </c>
      <c r="P15" s="4"/>
    </row>
    <row r="16" spans="1:16" ht="13.5" thickBot="1">
      <c r="C16" s="57" t="s">
        <v>68</v>
      </c>
      <c r="D16" s="140" t="s">
        <v>69</v>
      </c>
      <c r="E16" s="57" t="s">
        <v>70</v>
      </c>
      <c r="F16" s="57" t="s">
        <v>69</v>
      </c>
      <c r="G16" s="142" t="s">
        <v>71</v>
      </c>
      <c r="H16" s="58" t="s">
        <v>72</v>
      </c>
      <c r="I16" s="59" t="s">
        <v>93</v>
      </c>
      <c r="J16" s="60" t="s">
        <v>73</v>
      </c>
      <c r="K16" s="61" t="s">
        <v>74</v>
      </c>
      <c r="L16" s="135" t="s">
        <v>74</v>
      </c>
      <c r="M16" s="61" t="s">
        <v>94</v>
      </c>
      <c r="N16" s="136" t="s">
        <v>94</v>
      </c>
      <c r="O16" s="61" t="s">
        <v>94</v>
      </c>
      <c r="P16" s="4"/>
    </row>
    <row r="17" spans="2:16" ht="12.5">
      <c r="B17" t="str">
        <f t="shared" ref="B17:B71" si="0">IF(D17=F16,"","IU")</f>
        <v>IU</v>
      </c>
      <c r="C17" s="62">
        <f>IF(D11= "","-",D11)</f>
        <v>2018</v>
      </c>
      <c r="D17" s="63">
        <v>0</v>
      </c>
      <c r="E17" s="64">
        <f>IF(D10&gt;=100000,I$14/12*(12-D12),0)</f>
        <v>0</v>
      </c>
      <c r="F17" s="68">
        <f>IF(D11=C17,+D10-E17,+D17-E17)</f>
        <v>0</v>
      </c>
      <c r="G17" s="64">
        <f>(D17+F17)/2*I$12+E17</f>
        <v>0</v>
      </c>
      <c r="H17" s="52">
        <f>+(D17+F17)/2*I$13+E17</f>
        <v>0</v>
      </c>
      <c r="I17" s="65">
        <f t="shared" ref="I17:I48" si="1">H17-G17</f>
        <v>0</v>
      </c>
      <c r="J17" s="65"/>
      <c r="K17" s="132"/>
      <c r="L17" s="66">
        <f t="shared" ref="L17:L48" si="2">IF(K17&lt;&gt;0,+G17-K17,0)</f>
        <v>0</v>
      </c>
      <c r="M17" s="132"/>
      <c r="N17" s="66">
        <f t="shared" ref="N17:N48" si="3">IF(M17&lt;&gt;0,+H17-M17,0)</f>
        <v>0</v>
      </c>
      <c r="O17" s="67">
        <f t="shared" ref="O17:O48" si="4">+N17-L17</f>
        <v>0</v>
      </c>
      <c r="P17" s="4"/>
    </row>
    <row r="18" spans="2:16" ht="12.5">
      <c r="B18" t="str">
        <f t="shared" si="0"/>
        <v/>
      </c>
      <c r="C18" s="62">
        <f>IF(D11="","-",+C17+1)</f>
        <v>2019</v>
      </c>
      <c r="D18" s="71">
        <f>IF(F17+SUM(E$17:E17)=D$10,F17,D$10-SUM(E$17:E17))</f>
        <v>0</v>
      </c>
      <c r="E18" s="69">
        <f t="shared" ref="E18:E49" si="5">IF(+I$14&lt;F17,I$14,D18)</f>
        <v>0</v>
      </c>
      <c r="F18" s="68">
        <f t="shared" ref="F18:F48" si="6">+D18-E18</f>
        <v>0</v>
      </c>
      <c r="G18" s="70">
        <f t="shared" ref="G18:G71" si="7">(D18+F18)/2*I$12+E18</f>
        <v>0</v>
      </c>
      <c r="H18" s="52">
        <f t="shared" ref="H18:H71" si="8">+(D18+F18)/2*I$13+E18</f>
        <v>0</v>
      </c>
      <c r="I18" s="65">
        <f t="shared" si="1"/>
        <v>0</v>
      </c>
      <c r="J18" s="65"/>
      <c r="K18" s="130"/>
      <c r="L18" s="67">
        <f t="shared" si="2"/>
        <v>0</v>
      </c>
      <c r="M18" s="130"/>
      <c r="N18" s="67">
        <f t="shared" si="3"/>
        <v>0</v>
      </c>
      <c r="O18" s="67">
        <f t="shared" si="4"/>
        <v>0</v>
      </c>
      <c r="P18" s="4"/>
    </row>
    <row r="19" spans="2:16" ht="12.5">
      <c r="B19" t="str">
        <f t="shared" si="0"/>
        <v/>
      </c>
      <c r="C19" s="62">
        <f>IF(D11="","-",+C18+1)</f>
        <v>2020</v>
      </c>
      <c r="D19" s="71">
        <f>IF(F18+SUM(E$17:E18)=D$10,F18,D$10-SUM(E$17:E18))</f>
        <v>0</v>
      </c>
      <c r="E19" s="69">
        <f t="shared" si="5"/>
        <v>0</v>
      </c>
      <c r="F19" s="68">
        <f t="shared" si="6"/>
        <v>0</v>
      </c>
      <c r="G19" s="70">
        <f t="shared" si="7"/>
        <v>0</v>
      </c>
      <c r="H19" s="52">
        <f t="shared" si="8"/>
        <v>0</v>
      </c>
      <c r="I19" s="65">
        <f t="shared" si="1"/>
        <v>0</v>
      </c>
      <c r="J19" s="65"/>
      <c r="K19" s="130"/>
      <c r="L19" s="67">
        <f t="shared" si="2"/>
        <v>0</v>
      </c>
      <c r="M19" s="130"/>
      <c r="N19" s="67">
        <f t="shared" si="3"/>
        <v>0</v>
      </c>
      <c r="O19" s="67">
        <f t="shared" si="4"/>
        <v>0</v>
      </c>
      <c r="P19" s="4"/>
    </row>
    <row r="20" spans="2:16" ht="12.5">
      <c r="B20" t="str">
        <f t="shared" si="0"/>
        <v/>
      </c>
      <c r="C20" s="62">
        <f>IF(D11="","-",+C19+1)</f>
        <v>2021</v>
      </c>
      <c r="D20" s="71">
        <f>IF(F19+SUM(E$17:E19)=D$10,F19,D$10-SUM(E$17:E19))</f>
        <v>0</v>
      </c>
      <c r="E20" s="69">
        <f t="shared" si="5"/>
        <v>0</v>
      </c>
      <c r="F20" s="68">
        <f t="shared" si="6"/>
        <v>0</v>
      </c>
      <c r="G20" s="70">
        <f t="shared" si="7"/>
        <v>0</v>
      </c>
      <c r="H20" s="52">
        <f t="shared" si="8"/>
        <v>0</v>
      </c>
      <c r="I20" s="65">
        <f t="shared" si="1"/>
        <v>0</v>
      </c>
      <c r="J20" s="65"/>
      <c r="K20" s="130"/>
      <c r="L20" s="67">
        <f t="shared" si="2"/>
        <v>0</v>
      </c>
      <c r="M20" s="130"/>
      <c r="N20" s="67">
        <f t="shared" si="3"/>
        <v>0</v>
      </c>
      <c r="O20" s="67">
        <f t="shared" si="4"/>
        <v>0</v>
      </c>
      <c r="P20" s="4"/>
    </row>
    <row r="21" spans="2:16" ht="12.5">
      <c r="B21" t="str">
        <f t="shared" si="0"/>
        <v/>
      </c>
      <c r="C21" s="62">
        <f>IF(D11="","-",+C20+1)</f>
        <v>2022</v>
      </c>
      <c r="D21" s="71">
        <f>IF(F20+SUM(E$17:E20)=D$10,F20,D$10-SUM(E$17:E20))</f>
        <v>0</v>
      </c>
      <c r="E21" s="69">
        <f t="shared" si="5"/>
        <v>0</v>
      </c>
      <c r="F21" s="68">
        <f t="shared" si="6"/>
        <v>0</v>
      </c>
      <c r="G21" s="70">
        <f t="shared" si="7"/>
        <v>0</v>
      </c>
      <c r="H21" s="52">
        <f t="shared" si="8"/>
        <v>0</v>
      </c>
      <c r="I21" s="65">
        <f t="shared" si="1"/>
        <v>0</v>
      </c>
      <c r="J21" s="65"/>
      <c r="K21" s="130"/>
      <c r="L21" s="67">
        <f t="shared" si="2"/>
        <v>0</v>
      </c>
      <c r="M21" s="130"/>
      <c r="N21" s="67">
        <f t="shared" si="3"/>
        <v>0</v>
      </c>
      <c r="O21" s="67">
        <f t="shared" si="4"/>
        <v>0</v>
      </c>
      <c r="P21" s="4"/>
    </row>
    <row r="22" spans="2:16" ht="12.5">
      <c r="B22" t="str">
        <f t="shared" si="0"/>
        <v/>
      </c>
      <c r="C22" s="62">
        <f>IF(D11="","-",+C21+1)</f>
        <v>2023</v>
      </c>
      <c r="D22" s="71">
        <f>IF(F21+SUM(E$17:E21)=D$10,F21,D$10-SUM(E$17:E21))</f>
        <v>0</v>
      </c>
      <c r="E22" s="69">
        <f t="shared" si="5"/>
        <v>0</v>
      </c>
      <c r="F22" s="68">
        <f t="shared" si="6"/>
        <v>0</v>
      </c>
      <c r="G22" s="70">
        <f t="shared" si="7"/>
        <v>0</v>
      </c>
      <c r="H22" s="52">
        <f t="shared" si="8"/>
        <v>0</v>
      </c>
      <c r="I22" s="65">
        <f t="shared" si="1"/>
        <v>0</v>
      </c>
      <c r="J22" s="65"/>
      <c r="K22" s="130"/>
      <c r="L22" s="67">
        <f t="shared" si="2"/>
        <v>0</v>
      </c>
      <c r="M22" s="130"/>
      <c r="N22" s="67">
        <f t="shared" si="3"/>
        <v>0</v>
      </c>
      <c r="O22" s="67">
        <f t="shared" si="4"/>
        <v>0</v>
      </c>
      <c r="P22" s="4"/>
    </row>
    <row r="23" spans="2:16" ht="12.5">
      <c r="B23" t="str">
        <f t="shared" si="0"/>
        <v/>
      </c>
      <c r="C23" s="62">
        <f>IF(D11="","-",+C22+1)</f>
        <v>2024</v>
      </c>
      <c r="D23" s="71">
        <f>IF(F22+SUM(E$17:E22)=D$10,F22,D$10-SUM(E$17:E22))</f>
        <v>0</v>
      </c>
      <c r="E23" s="69">
        <f t="shared" si="5"/>
        <v>0</v>
      </c>
      <c r="F23" s="68">
        <f t="shared" si="6"/>
        <v>0</v>
      </c>
      <c r="G23" s="70">
        <f t="shared" si="7"/>
        <v>0</v>
      </c>
      <c r="H23" s="52">
        <f t="shared" si="8"/>
        <v>0</v>
      </c>
      <c r="I23" s="65">
        <f t="shared" si="1"/>
        <v>0</v>
      </c>
      <c r="J23" s="65"/>
      <c r="K23" s="130"/>
      <c r="L23" s="67">
        <f t="shared" si="2"/>
        <v>0</v>
      </c>
      <c r="M23" s="130"/>
      <c r="N23" s="67">
        <f t="shared" si="3"/>
        <v>0</v>
      </c>
      <c r="O23" s="67">
        <f t="shared" si="4"/>
        <v>0</v>
      </c>
      <c r="P23" s="4"/>
    </row>
    <row r="24" spans="2:16" ht="12.5">
      <c r="B24" t="str">
        <f t="shared" si="0"/>
        <v/>
      </c>
      <c r="C24" s="62">
        <f>IF(D11="","-",+C23+1)</f>
        <v>2025</v>
      </c>
      <c r="D24" s="71">
        <f>IF(F23+SUM(E$17:E23)=D$10,F23,D$10-SUM(E$17:E23))</f>
        <v>0</v>
      </c>
      <c r="E24" s="69">
        <f t="shared" si="5"/>
        <v>0</v>
      </c>
      <c r="F24" s="68">
        <f t="shared" si="6"/>
        <v>0</v>
      </c>
      <c r="G24" s="70">
        <f t="shared" si="7"/>
        <v>0</v>
      </c>
      <c r="H24" s="52">
        <f t="shared" si="8"/>
        <v>0</v>
      </c>
      <c r="I24" s="65">
        <f t="shared" si="1"/>
        <v>0</v>
      </c>
      <c r="J24" s="65"/>
      <c r="K24" s="130"/>
      <c r="L24" s="67">
        <f t="shared" si="2"/>
        <v>0</v>
      </c>
      <c r="M24" s="130"/>
      <c r="N24" s="67">
        <f t="shared" si="3"/>
        <v>0</v>
      </c>
      <c r="O24" s="67">
        <f t="shared" si="4"/>
        <v>0</v>
      </c>
      <c r="P24" s="4"/>
    </row>
    <row r="25" spans="2:16" ht="12.5">
      <c r="B25" t="str">
        <f t="shared" si="0"/>
        <v/>
      </c>
      <c r="C25" s="62">
        <f>IF(D11="","-",+C24+1)</f>
        <v>2026</v>
      </c>
      <c r="D25" s="71">
        <f>IF(F24+SUM(E$17:E24)=D$10,F24,D$10-SUM(E$17:E24))</f>
        <v>0</v>
      </c>
      <c r="E25" s="69">
        <f t="shared" si="5"/>
        <v>0</v>
      </c>
      <c r="F25" s="68">
        <f t="shared" si="6"/>
        <v>0</v>
      </c>
      <c r="G25" s="70">
        <f t="shared" si="7"/>
        <v>0</v>
      </c>
      <c r="H25" s="52">
        <f t="shared" si="8"/>
        <v>0</v>
      </c>
      <c r="I25" s="65">
        <f t="shared" si="1"/>
        <v>0</v>
      </c>
      <c r="J25" s="65"/>
      <c r="K25" s="130"/>
      <c r="L25" s="67">
        <f t="shared" si="2"/>
        <v>0</v>
      </c>
      <c r="M25" s="130"/>
      <c r="N25" s="67">
        <f t="shared" si="3"/>
        <v>0</v>
      </c>
      <c r="O25" s="67">
        <f t="shared" si="4"/>
        <v>0</v>
      </c>
      <c r="P25" s="4"/>
    </row>
    <row r="26" spans="2:16" ht="12.5">
      <c r="B26" t="str">
        <f t="shared" si="0"/>
        <v/>
      </c>
      <c r="C26" s="62">
        <f>IF(D11="","-",+C25+1)</f>
        <v>2027</v>
      </c>
      <c r="D26" s="71">
        <f>IF(F25+SUM(E$17:E25)=D$10,F25,D$10-SUM(E$17:E25))</f>
        <v>0</v>
      </c>
      <c r="E26" s="69">
        <f t="shared" si="5"/>
        <v>0</v>
      </c>
      <c r="F26" s="68">
        <f t="shared" si="6"/>
        <v>0</v>
      </c>
      <c r="G26" s="70">
        <f t="shared" si="7"/>
        <v>0</v>
      </c>
      <c r="H26" s="52">
        <f t="shared" si="8"/>
        <v>0</v>
      </c>
      <c r="I26" s="65">
        <f t="shared" si="1"/>
        <v>0</v>
      </c>
      <c r="J26" s="65"/>
      <c r="K26" s="130"/>
      <c r="L26" s="67">
        <f t="shared" si="2"/>
        <v>0</v>
      </c>
      <c r="M26" s="130"/>
      <c r="N26" s="67">
        <f t="shared" si="3"/>
        <v>0</v>
      </c>
      <c r="O26" s="67">
        <f t="shared" si="4"/>
        <v>0</v>
      </c>
      <c r="P26" s="4"/>
    </row>
    <row r="27" spans="2:16" ht="12.5">
      <c r="B27" t="str">
        <f t="shared" si="0"/>
        <v/>
      </c>
      <c r="C27" s="62">
        <f>IF(D11="","-",+C26+1)</f>
        <v>2028</v>
      </c>
      <c r="D27" s="71">
        <f>IF(F26+SUM(E$17:E26)=D$10,F26,D$10-SUM(E$17:E26))</f>
        <v>0</v>
      </c>
      <c r="E27" s="69">
        <f t="shared" si="5"/>
        <v>0</v>
      </c>
      <c r="F27" s="68">
        <f t="shared" si="6"/>
        <v>0</v>
      </c>
      <c r="G27" s="70">
        <f t="shared" si="7"/>
        <v>0</v>
      </c>
      <c r="H27" s="52">
        <f t="shared" si="8"/>
        <v>0</v>
      </c>
      <c r="I27" s="65">
        <f t="shared" si="1"/>
        <v>0</v>
      </c>
      <c r="J27" s="65"/>
      <c r="K27" s="130"/>
      <c r="L27" s="67">
        <f t="shared" si="2"/>
        <v>0</v>
      </c>
      <c r="M27" s="130"/>
      <c r="N27" s="67">
        <f t="shared" si="3"/>
        <v>0</v>
      </c>
      <c r="O27" s="67">
        <f t="shared" si="4"/>
        <v>0</v>
      </c>
      <c r="P27" s="4"/>
    </row>
    <row r="28" spans="2:16" ht="12.5">
      <c r="B28" t="str">
        <f t="shared" si="0"/>
        <v/>
      </c>
      <c r="C28" s="62">
        <f>IF(D11="","-",+C27+1)</f>
        <v>2029</v>
      </c>
      <c r="D28" s="71">
        <f>IF(F27+SUM(E$17:E27)=D$10,F27,D$10-SUM(E$17:E27))</f>
        <v>0</v>
      </c>
      <c r="E28" s="69">
        <f t="shared" si="5"/>
        <v>0</v>
      </c>
      <c r="F28" s="68">
        <f t="shared" si="6"/>
        <v>0</v>
      </c>
      <c r="G28" s="70">
        <f t="shared" si="7"/>
        <v>0</v>
      </c>
      <c r="H28" s="52">
        <f t="shared" si="8"/>
        <v>0</v>
      </c>
      <c r="I28" s="65">
        <f t="shared" si="1"/>
        <v>0</v>
      </c>
      <c r="J28" s="65"/>
      <c r="K28" s="130"/>
      <c r="L28" s="67">
        <f t="shared" si="2"/>
        <v>0</v>
      </c>
      <c r="M28" s="130"/>
      <c r="N28" s="67">
        <f t="shared" si="3"/>
        <v>0</v>
      </c>
      <c r="O28" s="67">
        <f t="shared" si="4"/>
        <v>0</v>
      </c>
      <c r="P28" s="4"/>
    </row>
    <row r="29" spans="2:16" ht="12.5">
      <c r="B29" t="str">
        <f t="shared" si="0"/>
        <v/>
      </c>
      <c r="C29" s="62">
        <f>IF(D11="","-",+C28+1)</f>
        <v>2030</v>
      </c>
      <c r="D29" s="71">
        <f>IF(F28+SUM(E$17:E28)=D$10,F28,D$10-SUM(E$17:E28))</f>
        <v>0</v>
      </c>
      <c r="E29" s="69">
        <f t="shared" si="5"/>
        <v>0</v>
      </c>
      <c r="F29" s="68">
        <f t="shared" si="6"/>
        <v>0</v>
      </c>
      <c r="G29" s="70">
        <f t="shared" si="7"/>
        <v>0</v>
      </c>
      <c r="H29" s="52">
        <f t="shared" si="8"/>
        <v>0</v>
      </c>
      <c r="I29" s="65">
        <f t="shared" si="1"/>
        <v>0</v>
      </c>
      <c r="J29" s="65"/>
      <c r="K29" s="130"/>
      <c r="L29" s="67">
        <f t="shared" si="2"/>
        <v>0</v>
      </c>
      <c r="M29" s="130"/>
      <c r="N29" s="67">
        <f t="shared" si="3"/>
        <v>0</v>
      </c>
      <c r="O29" s="67">
        <f t="shared" si="4"/>
        <v>0</v>
      </c>
      <c r="P29" s="4"/>
    </row>
    <row r="30" spans="2:16" ht="12.5">
      <c r="B30" t="str">
        <f t="shared" si="0"/>
        <v/>
      </c>
      <c r="C30" s="62">
        <f>IF(D11="","-",+C29+1)</f>
        <v>2031</v>
      </c>
      <c r="D30" s="71">
        <f>IF(F29+SUM(E$17:E29)=D$10,F29,D$10-SUM(E$17:E29))</f>
        <v>0</v>
      </c>
      <c r="E30" s="69">
        <f t="shared" si="5"/>
        <v>0</v>
      </c>
      <c r="F30" s="68">
        <f t="shared" si="6"/>
        <v>0</v>
      </c>
      <c r="G30" s="70">
        <f t="shared" si="7"/>
        <v>0</v>
      </c>
      <c r="H30" s="52">
        <f t="shared" si="8"/>
        <v>0</v>
      </c>
      <c r="I30" s="65">
        <f t="shared" si="1"/>
        <v>0</v>
      </c>
      <c r="J30" s="65"/>
      <c r="K30" s="130"/>
      <c r="L30" s="67">
        <f t="shared" si="2"/>
        <v>0</v>
      </c>
      <c r="M30" s="130"/>
      <c r="N30" s="67">
        <f t="shared" si="3"/>
        <v>0</v>
      </c>
      <c r="O30" s="67">
        <f t="shared" si="4"/>
        <v>0</v>
      </c>
      <c r="P30" s="4"/>
    </row>
    <row r="31" spans="2:16" ht="12.5">
      <c r="B31" t="str">
        <f t="shared" si="0"/>
        <v/>
      </c>
      <c r="C31" s="62">
        <f>IF(D11="","-",+C30+1)</f>
        <v>2032</v>
      </c>
      <c r="D31" s="71">
        <f>IF(F30+SUM(E$17:E30)=D$10,F30,D$10-SUM(E$17:E30))</f>
        <v>0</v>
      </c>
      <c r="E31" s="69">
        <f t="shared" si="5"/>
        <v>0</v>
      </c>
      <c r="F31" s="68">
        <f t="shared" si="6"/>
        <v>0</v>
      </c>
      <c r="G31" s="70">
        <f t="shared" si="7"/>
        <v>0</v>
      </c>
      <c r="H31" s="52">
        <f t="shared" si="8"/>
        <v>0</v>
      </c>
      <c r="I31" s="65">
        <f t="shared" si="1"/>
        <v>0</v>
      </c>
      <c r="J31" s="65"/>
      <c r="K31" s="130"/>
      <c r="L31" s="67">
        <f t="shared" si="2"/>
        <v>0</v>
      </c>
      <c r="M31" s="130"/>
      <c r="N31" s="67">
        <f t="shared" si="3"/>
        <v>0</v>
      </c>
      <c r="O31" s="67">
        <f t="shared" si="4"/>
        <v>0</v>
      </c>
      <c r="P31" s="4"/>
    </row>
    <row r="32" spans="2:16" ht="12.5">
      <c r="B32" t="str">
        <f t="shared" si="0"/>
        <v/>
      </c>
      <c r="C32" s="62">
        <f>IF(D11="","-",+C31+1)</f>
        <v>2033</v>
      </c>
      <c r="D32" s="71">
        <f>IF(F31+SUM(E$17:E31)=D$10,F31,D$10-SUM(E$17:E31))</f>
        <v>0</v>
      </c>
      <c r="E32" s="69">
        <f t="shared" si="5"/>
        <v>0</v>
      </c>
      <c r="F32" s="68">
        <f t="shared" si="6"/>
        <v>0</v>
      </c>
      <c r="G32" s="70">
        <f t="shared" si="7"/>
        <v>0</v>
      </c>
      <c r="H32" s="52">
        <f t="shared" si="8"/>
        <v>0</v>
      </c>
      <c r="I32" s="65">
        <f t="shared" si="1"/>
        <v>0</v>
      </c>
      <c r="J32" s="65"/>
      <c r="K32" s="130"/>
      <c r="L32" s="67">
        <f t="shared" si="2"/>
        <v>0</v>
      </c>
      <c r="M32" s="130"/>
      <c r="N32" s="67">
        <f t="shared" si="3"/>
        <v>0</v>
      </c>
      <c r="O32" s="67">
        <f t="shared" si="4"/>
        <v>0</v>
      </c>
      <c r="P32" s="4"/>
    </row>
    <row r="33" spans="2:16" ht="12.5">
      <c r="B33" t="str">
        <f t="shared" si="0"/>
        <v/>
      </c>
      <c r="C33" s="62">
        <f>IF(D11="","-",+C32+1)</f>
        <v>2034</v>
      </c>
      <c r="D33" s="71">
        <f>IF(F32+SUM(E$17:E32)=D$10,F32,D$10-SUM(E$17:E32))</f>
        <v>0</v>
      </c>
      <c r="E33" s="69">
        <f t="shared" si="5"/>
        <v>0</v>
      </c>
      <c r="F33" s="68">
        <f t="shared" si="6"/>
        <v>0</v>
      </c>
      <c r="G33" s="70">
        <f t="shared" si="7"/>
        <v>0</v>
      </c>
      <c r="H33" s="52">
        <f t="shared" si="8"/>
        <v>0</v>
      </c>
      <c r="I33" s="65">
        <f t="shared" si="1"/>
        <v>0</v>
      </c>
      <c r="J33" s="65"/>
      <c r="K33" s="130"/>
      <c r="L33" s="67">
        <f t="shared" si="2"/>
        <v>0</v>
      </c>
      <c r="M33" s="130"/>
      <c r="N33" s="67">
        <f t="shared" si="3"/>
        <v>0</v>
      </c>
      <c r="O33" s="67">
        <f t="shared" si="4"/>
        <v>0</v>
      </c>
      <c r="P33" s="4"/>
    </row>
    <row r="34" spans="2:16" ht="12.5">
      <c r="B34" t="str">
        <f t="shared" si="0"/>
        <v/>
      </c>
      <c r="C34" s="62">
        <f>IF(D11="","-",+C33+1)</f>
        <v>2035</v>
      </c>
      <c r="D34" s="71">
        <f>IF(F33+SUM(E$17:E33)=D$10,F33,D$10-SUM(E$17:E33))</f>
        <v>0</v>
      </c>
      <c r="E34" s="69">
        <f t="shared" si="5"/>
        <v>0</v>
      </c>
      <c r="F34" s="68">
        <f t="shared" si="6"/>
        <v>0</v>
      </c>
      <c r="G34" s="70">
        <f t="shared" si="7"/>
        <v>0</v>
      </c>
      <c r="H34" s="52">
        <f t="shared" si="8"/>
        <v>0</v>
      </c>
      <c r="I34" s="65">
        <f t="shared" si="1"/>
        <v>0</v>
      </c>
      <c r="J34" s="65"/>
      <c r="K34" s="130"/>
      <c r="L34" s="67">
        <f t="shared" si="2"/>
        <v>0</v>
      </c>
      <c r="M34" s="130"/>
      <c r="N34" s="67">
        <f t="shared" si="3"/>
        <v>0</v>
      </c>
      <c r="O34" s="67">
        <f t="shared" si="4"/>
        <v>0</v>
      </c>
      <c r="P34" s="4"/>
    </row>
    <row r="35" spans="2:16" ht="12.5">
      <c r="B35" t="str">
        <f t="shared" si="0"/>
        <v/>
      </c>
      <c r="C35" s="62">
        <f>IF(D11="","-",+C34+1)</f>
        <v>2036</v>
      </c>
      <c r="D35" s="71">
        <f>IF(F34+SUM(E$17:E34)=D$10,F34,D$10-SUM(E$17:E34))</f>
        <v>0</v>
      </c>
      <c r="E35" s="69">
        <f t="shared" si="5"/>
        <v>0</v>
      </c>
      <c r="F35" s="68">
        <f t="shared" si="6"/>
        <v>0</v>
      </c>
      <c r="G35" s="70">
        <f t="shared" si="7"/>
        <v>0</v>
      </c>
      <c r="H35" s="52">
        <f t="shared" si="8"/>
        <v>0</v>
      </c>
      <c r="I35" s="65">
        <f t="shared" si="1"/>
        <v>0</v>
      </c>
      <c r="J35" s="65"/>
      <c r="K35" s="130"/>
      <c r="L35" s="67">
        <f t="shared" si="2"/>
        <v>0</v>
      </c>
      <c r="M35" s="130"/>
      <c r="N35" s="67">
        <f t="shared" si="3"/>
        <v>0</v>
      </c>
      <c r="O35" s="67">
        <f t="shared" si="4"/>
        <v>0</v>
      </c>
      <c r="P35" s="4"/>
    </row>
    <row r="36" spans="2:16" ht="12.5">
      <c r="B36" t="str">
        <f t="shared" si="0"/>
        <v/>
      </c>
      <c r="C36" s="62">
        <f>IF(D11="","-",+C35+1)</f>
        <v>2037</v>
      </c>
      <c r="D36" s="71">
        <f>IF(F35+SUM(E$17:E35)=D$10,F35,D$10-SUM(E$17:E35))</f>
        <v>0</v>
      </c>
      <c r="E36" s="69">
        <f t="shared" si="5"/>
        <v>0</v>
      </c>
      <c r="F36" s="68">
        <f t="shared" si="6"/>
        <v>0</v>
      </c>
      <c r="G36" s="70">
        <f t="shared" si="7"/>
        <v>0</v>
      </c>
      <c r="H36" s="52">
        <f t="shared" si="8"/>
        <v>0</v>
      </c>
      <c r="I36" s="65">
        <f t="shared" si="1"/>
        <v>0</v>
      </c>
      <c r="J36" s="65"/>
      <c r="K36" s="130"/>
      <c r="L36" s="67">
        <f t="shared" si="2"/>
        <v>0</v>
      </c>
      <c r="M36" s="130"/>
      <c r="N36" s="67">
        <f t="shared" si="3"/>
        <v>0</v>
      </c>
      <c r="O36" s="67">
        <f t="shared" si="4"/>
        <v>0</v>
      </c>
      <c r="P36" s="4"/>
    </row>
    <row r="37" spans="2:16" ht="12.5">
      <c r="B37" t="str">
        <f t="shared" si="0"/>
        <v/>
      </c>
      <c r="C37" s="62">
        <f>IF(D11="","-",+C36+1)</f>
        <v>2038</v>
      </c>
      <c r="D37" s="71">
        <f>IF(F36+SUM(E$17:E36)=D$10,F36,D$10-SUM(E$17:E36))</f>
        <v>0</v>
      </c>
      <c r="E37" s="69">
        <f t="shared" si="5"/>
        <v>0</v>
      </c>
      <c r="F37" s="68">
        <f t="shared" si="6"/>
        <v>0</v>
      </c>
      <c r="G37" s="70">
        <f t="shared" si="7"/>
        <v>0</v>
      </c>
      <c r="H37" s="52">
        <f t="shared" si="8"/>
        <v>0</v>
      </c>
      <c r="I37" s="65">
        <f t="shared" si="1"/>
        <v>0</v>
      </c>
      <c r="J37" s="65"/>
      <c r="K37" s="130"/>
      <c r="L37" s="67">
        <f t="shared" si="2"/>
        <v>0</v>
      </c>
      <c r="M37" s="130"/>
      <c r="N37" s="67">
        <f t="shared" si="3"/>
        <v>0</v>
      </c>
      <c r="O37" s="67">
        <f t="shared" si="4"/>
        <v>0</v>
      </c>
      <c r="P37" s="4"/>
    </row>
    <row r="38" spans="2:16" ht="12.5">
      <c r="B38" t="str">
        <f t="shared" si="0"/>
        <v/>
      </c>
      <c r="C38" s="62">
        <f>IF(D11="","-",+C37+1)</f>
        <v>2039</v>
      </c>
      <c r="D38" s="71">
        <f>IF(F37+SUM(E$17:E37)=D$10,F37,D$10-SUM(E$17:E37))</f>
        <v>0</v>
      </c>
      <c r="E38" s="69">
        <f t="shared" si="5"/>
        <v>0</v>
      </c>
      <c r="F38" s="68">
        <f t="shared" si="6"/>
        <v>0</v>
      </c>
      <c r="G38" s="70">
        <f t="shared" si="7"/>
        <v>0</v>
      </c>
      <c r="H38" s="52">
        <f t="shared" si="8"/>
        <v>0</v>
      </c>
      <c r="I38" s="65">
        <f t="shared" si="1"/>
        <v>0</v>
      </c>
      <c r="J38" s="65"/>
      <c r="K38" s="130"/>
      <c r="L38" s="67">
        <f t="shared" si="2"/>
        <v>0</v>
      </c>
      <c r="M38" s="130"/>
      <c r="N38" s="67">
        <f t="shared" si="3"/>
        <v>0</v>
      </c>
      <c r="O38" s="67">
        <f t="shared" si="4"/>
        <v>0</v>
      </c>
      <c r="P38" s="4"/>
    </row>
    <row r="39" spans="2:16" ht="12.5">
      <c r="B39" t="str">
        <f t="shared" si="0"/>
        <v/>
      </c>
      <c r="C39" s="62">
        <f>IF(D11="","-",+C38+1)</f>
        <v>2040</v>
      </c>
      <c r="D39" s="71">
        <f>IF(F38+SUM(E$17:E38)=D$10,F38,D$10-SUM(E$17:E38))</f>
        <v>0</v>
      </c>
      <c r="E39" s="69">
        <f t="shared" si="5"/>
        <v>0</v>
      </c>
      <c r="F39" s="68">
        <f t="shared" si="6"/>
        <v>0</v>
      </c>
      <c r="G39" s="70">
        <f t="shared" si="7"/>
        <v>0</v>
      </c>
      <c r="H39" s="52">
        <f t="shared" si="8"/>
        <v>0</v>
      </c>
      <c r="I39" s="65">
        <f t="shared" si="1"/>
        <v>0</v>
      </c>
      <c r="J39" s="65"/>
      <c r="K39" s="130"/>
      <c r="L39" s="67">
        <f t="shared" si="2"/>
        <v>0</v>
      </c>
      <c r="M39" s="130"/>
      <c r="N39" s="67">
        <f t="shared" si="3"/>
        <v>0</v>
      </c>
      <c r="O39" s="67">
        <f t="shared" si="4"/>
        <v>0</v>
      </c>
      <c r="P39" s="4"/>
    </row>
    <row r="40" spans="2:16" ht="12.5">
      <c r="B40" t="str">
        <f t="shared" si="0"/>
        <v/>
      </c>
      <c r="C40" s="62">
        <f>IF(D11="","-",+C39+1)</f>
        <v>2041</v>
      </c>
      <c r="D40" s="71">
        <f>IF(F39+SUM(E$17:E39)=D$10,F39,D$10-SUM(E$17:E39))</f>
        <v>0</v>
      </c>
      <c r="E40" s="69">
        <f t="shared" si="5"/>
        <v>0</v>
      </c>
      <c r="F40" s="68">
        <f t="shared" si="6"/>
        <v>0</v>
      </c>
      <c r="G40" s="70">
        <f t="shared" si="7"/>
        <v>0</v>
      </c>
      <c r="H40" s="52">
        <f t="shared" si="8"/>
        <v>0</v>
      </c>
      <c r="I40" s="65">
        <f t="shared" si="1"/>
        <v>0</v>
      </c>
      <c r="J40" s="65"/>
      <c r="K40" s="130"/>
      <c r="L40" s="67">
        <f t="shared" si="2"/>
        <v>0</v>
      </c>
      <c r="M40" s="130"/>
      <c r="N40" s="67">
        <f t="shared" si="3"/>
        <v>0</v>
      </c>
      <c r="O40" s="67">
        <f t="shared" si="4"/>
        <v>0</v>
      </c>
      <c r="P40" s="4"/>
    </row>
    <row r="41" spans="2:16" ht="12.5">
      <c r="B41" t="str">
        <f t="shared" si="0"/>
        <v/>
      </c>
      <c r="C41" s="62">
        <f>IF(D11="","-",+C40+1)</f>
        <v>2042</v>
      </c>
      <c r="D41" s="71">
        <f>IF(F40+SUM(E$17:E40)=D$10,F40,D$10-SUM(E$17:E40))</f>
        <v>0</v>
      </c>
      <c r="E41" s="69">
        <f t="shared" si="5"/>
        <v>0</v>
      </c>
      <c r="F41" s="68">
        <f t="shared" si="6"/>
        <v>0</v>
      </c>
      <c r="G41" s="70">
        <f t="shared" si="7"/>
        <v>0</v>
      </c>
      <c r="H41" s="52">
        <f t="shared" si="8"/>
        <v>0</v>
      </c>
      <c r="I41" s="65">
        <f t="shared" si="1"/>
        <v>0</v>
      </c>
      <c r="J41" s="65"/>
      <c r="K41" s="130"/>
      <c r="L41" s="67">
        <f t="shared" si="2"/>
        <v>0</v>
      </c>
      <c r="M41" s="130"/>
      <c r="N41" s="67">
        <f t="shared" si="3"/>
        <v>0</v>
      </c>
      <c r="O41" s="67">
        <f t="shared" si="4"/>
        <v>0</v>
      </c>
      <c r="P41" s="4"/>
    </row>
    <row r="42" spans="2:16" ht="12.5">
      <c r="B42" t="str">
        <f t="shared" si="0"/>
        <v/>
      </c>
      <c r="C42" s="62">
        <f>IF(D11="","-",+C41+1)</f>
        <v>2043</v>
      </c>
      <c r="D42" s="71">
        <f>IF(F41+SUM(E$17:E41)=D$10,F41,D$10-SUM(E$17:E41))</f>
        <v>0</v>
      </c>
      <c r="E42" s="69">
        <f t="shared" si="5"/>
        <v>0</v>
      </c>
      <c r="F42" s="68">
        <f t="shared" si="6"/>
        <v>0</v>
      </c>
      <c r="G42" s="70">
        <f t="shared" si="7"/>
        <v>0</v>
      </c>
      <c r="H42" s="52">
        <f t="shared" si="8"/>
        <v>0</v>
      </c>
      <c r="I42" s="65">
        <f t="shared" si="1"/>
        <v>0</v>
      </c>
      <c r="J42" s="65"/>
      <c r="K42" s="130"/>
      <c r="L42" s="67">
        <f t="shared" si="2"/>
        <v>0</v>
      </c>
      <c r="M42" s="130"/>
      <c r="N42" s="67">
        <f t="shared" si="3"/>
        <v>0</v>
      </c>
      <c r="O42" s="67">
        <f t="shared" si="4"/>
        <v>0</v>
      </c>
      <c r="P42" s="4"/>
    </row>
    <row r="43" spans="2:16" ht="12.5">
      <c r="B43" t="str">
        <f t="shared" si="0"/>
        <v/>
      </c>
      <c r="C43" s="62">
        <f>IF(D11="","-",+C42+1)</f>
        <v>2044</v>
      </c>
      <c r="D43" s="71">
        <f>IF(F42+SUM(E$17:E42)=D$10,F42,D$10-SUM(E$17:E42))</f>
        <v>0</v>
      </c>
      <c r="E43" s="69">
        <f t="shared" si="5"/>
        <v>0</v>
      </c>
      <c r="F43" s="68">
        <f t="shared" si="6"/>
        <v>0</v>
      </c>
      <c r="G43" s="70">
        <f t="shared" si="7"/>
        <v>0</v>
      </c>
      <c r="H43" s="52">
        <f t="shared" si="8"/>
        <v>0</v>
      </c>
      <c r="I43" s="65">
        <f t="shared" si="1"/>
        <v>0</v>
      </c>
      <c r="J43" s="65"/>
      <c r="K43" s="130"/>
      <c r="L43" s="67">
        <f t="shared" si="2"/>
        <v>0</v>
      </c>
      <c r="M43" s="130"/>
      <c r="N43" s="67">
        <f t="shared" si="3"/>
        <v>0</v>
      </c>
      <c r="O43" s="67">
        <f t="shared" si="4"/>
        <v>0</v>
      </c>
      <c r="P43" s="4"/>
    </row>
    <row r="44" spans="2:16" ht="12.5">
      <c r="B44" t="str">
        <f t="shared" si="0"/>
        <v/>
      </c>
      <c r="C44" s="62">
        <f>IF(D11="","-",+C43+1)</f>
        <v>2045</v>
      </c>
      <c r="D44" s="71">
        <f>IF(F43+SUM(E$17:E43)=D$10,F43,D$10-SUM(E$17:E43))</f>
        <v>0</v>
      </c>
      <c r="E44" s="69">
        <f t="shared" si="5"/>
        <v>0</v>
      </c>
      <c r="F44" s="68">
        <f t="shared" si="6"/>
        <v>0</v>
      </c>
      <c r="G44" s="70">
        <f t="shared" si="7"/>
        <v>0</v>
      </c>
      <c r="H44" s="52">
        <f t="shared" si="8"/>
        <v>0</v>
      </c>
      <c r="I44" s="65">
        <f t="shared" si="1"/>
        <v>0</v>
      </c>
      <c r="J44" s="65"/>
      <c r="K44" s="130"/>
      <c r="L44" s="67">
        <f t="shared" si="2"/>
        <v>0</v>
      </c>
      <c r="M44" s="130"/>
      <c r="N44" s="67">
        <f t="shared" si="3"/>
        <v>0</v>
      </c>
      <c r="O44" s="67">
        <f t="shared" si="4"/>
        <v>0</v>
      </c>
      <c r="P44" s="4"/>
    </row>
    <row r="45" spans="2:16" ht="12.5">
      <c r="B45" t="str">
        <f t="shared" si="0"/>
        <v/>
      </c>
      <c r="C45" s="62">
        <f>IF(D11="","-",+C44+1)</f>
        <v>2046</v>
      </c>
      <c r="D45" s="71">
        <f>IF(F44+SUM(E$17:E44)=D$10,F44,D$10-SUM(E$17:E44))</f>
        <v>0</v>
      </c>
      <c r="E45" s="69">
        <f t="shared" si="5"/>
        <v>0</v>
      </c>
      <c r="F45" s="68">
        <f t="shared" si="6"/>
        <v>0</v>
      </c>
      <c r="G45" s="70">
        <f t="shared" si="7"/>
        <v>0</v>
      </c>
      <c r="H45" s="52">
        <f t="shared" si="8"/>
        <v>0</v>
      </c>
      <c r="I45" s="65">
        <f t="shared" si="1"/>
        <v>0</v>
      </c>
      <c r="J45" s="65"/>
      <c r="K45" s="130"/>
      <c r="L45" s="67">
        <f t="shared" si="2"/>
        <v>0</v>
      </c>
      <c r="M45" s="130"/>
      <c r="N45" s="67">
        <f t="shared" si="3"/>
        <v>0</v>
      </c>
      <c r="O45" s="67">
        <f t="shared" si="4"/>
        <v>0</v>
      </c>
      <c r="P45" s="4"/>
    </row>
    <row r="46" spans="2:16" ht="12.5">
      <c r="B46" t="str">
        <f t="shared" si="0"/>
        <v/>
      </c>
      <c r="C46" s="62">
        <f>IF(D11="","-",+C45+1)</f>
        <v>2047</v>
      </c>
      <c r="D46" s="71">
        <f>IF(F45+SUM(E$17:E45)=D$10,F45,D$10-SUM(E$17:E45))</f>
        <v>0</v>
      </c>
      <c r="E46" s="69">
        <f t="shared" si="5"/>
        <v>0</v>
      </c>
      <c r="F46" s="68">
        <f t="shared" si="6"/>
        <v>0</v>
      </c>
      <c r="G46" s="70">
        <f t="shared" si="7"/>
        <v>0</v>
      </c>
      <c r="H46" s="52">
        <f t="shared" si="8"/>
        <v>0</v>
      </c>
      <c r="I46" s="65">
        <f t="shared" si="1"/>
        <v>0</v>
      </c>
      <c r="J46" s="65"/>
      <c r="K46" s="130"/>
      <c r="L46" s="67">
        <f t="shared" si="2"/>
        <v>0</v>
      </c>
      <c r="M46" s="130"/>
      <c r="N46" s="67">
        <f t="shared" si="3"/>
        <v>0</v>
      </c>
      <c r="O46" s="67">
        <f t="shared" si="4"/>
        <v>0</v>
      </c>
      <c r="P46" s="4"/>
    </row>
    <row r="47" spans="2:16" ht="12.5">
      <c r="B47" t="str">
        <f t="shared" si="0"/>
        <v/>
      </c>
      <c r="C47" s="62">
        <f>IF(D11="","-",+C46+1)</f>
        <v>2048</v>
      </c>
      <c r="D47" s="71">
        <f>IF(F46+SUM(E$17:E46)=D$10,F46,D$10-SUM(E$17:E46))</f>
        <v>0</v>
      </c>
      <c r="E47" s="69">
        <f t="shared" si="5"/>
        <v>0</v>
      </c>
      <c r="F47" s="68">
        <f t="shared" si="6"/>
        <v>0</v>
      </c>
      <c r="G47" s="70">
        <f t="shared" si="7"/>
        <v>0</v>
      </c>
      <c r="H47" s="52">
        <f t="shared" si="8"/>
        <v>0</v>
      </c>
      <c r="I47" s="65">
        <f t="shared" si="1"/>
        <v>0</v>
      </c>
      <c r="J47" s="65"/>
      <c r="K47" s="130"/>
      <c r="L47" s="67">
        <f t="shared" si="2"/>
        <v>0</v>
      </c>
      <c r="M47" s="130"/>
      <c r="N47" s="67">
        <f t="shared" si="3"/>
        <v>0</v>
      </c>
      <c r="O47" s="67">
        <f t="shared" si="4"/>
        <v>0</v>
      </c>
      <c r="P47" s="4"/>
    </row>
    <row r="48" spans="2:16" ht="12.5">
      <c r="B48" t="str">
        <f t="shared" si="0"/>
        <v/>
      </c>
      <c r="C48" s="62">
        <f>IF(D11="","-",+C47+1)</f>
        <v>2049</v>
      </c>
      <c r="D48" s="71">
        <f>IF(F47+SUM(E$17:E47)=D$10,F47,D$10-SUM(E$17:E47))</f>
        <v>0</v>
      </c>
      <c r="E48" s="69">
        <f t="shared" si="5"/>
        <v>0</v>
      </c>
      <c r="F48" s="68">
        <f t="shared" si="6"/>
        <v>0</v>
      </c>
      <c r="G48" s="70">
        <f t="shared" si="7"/>
        <v>0</v>
      </c>
      <c r="H48" s="52">
        <f t="shared" si="8"/>
        <v>0</v>
      </c>
      <c r="I48" s="65">
        <f t="shared" si="1"/>
        <v>0</v>
      </c>
      <c r="J48" s="65"/>
      <c r="K48" s="130"/>
      <c r="L48" s="67">
        <f t="shared" si="2"/>
        <v>0</v>
      </c>
      <c r="M48" s="130"/>
      <c r="N48" s="67">
        <f t="shared" si="3"/>
        <v>0</v>
      </c>
      <c r="O48" s="67">
        <f t="shared" si="4"/>
        <v>0</v>
      </c>
      <c r="P48" s="4"/>
    </row>
    <row r="49" spans="2:16" ht="12.5">
      <c r="B49" t="str">
        <f t="shared" si="0"/>
        <v/>
      </c>
      <c r="C49" s="62">
        <f>IF(D11="","-",+C48+1)</f>
        <v>2050</v>
      </c>
      <c r="D49" s="71">
        <f>IF(F48+SUM(E$17:E48)=D$10,F48,D$10-SUM(E$17:E48))</f>
        <v>0</v>
      </c>
      <c r="E49" s="69">
        <f t="shared" si="5"/>
        <v>0</v>
      </c>
      <c r="F49" s="68">
        <f t="shared" ref="F49:F71" si="9">+D49-E49</f>
        <v>0</v>
      </c>
      <c r="G49" s="70">
        <f t="shared" si="7"/>
        <v>0</v>
      </c>
      <c r="H49" s="52">
        <f t="shared" si="8"/>
        <v>0</v>
      </c>
      <c r="I49" s="65">
        <f t="shared" ref="I49:I71" si="10">H49-G49</f>
        <v>0</v>
      </c>
      <c r="J49" s="65"/>
      <c r="K49" s="130"/>
      <c r="L49" s="67">
        <f t="shared" ref="L49:L71" si="11">IF(K49&lt;&gt;0,+G49-K49,0)</f>
        <v>0</v>
      </c>
      <c r="M49" s="130"/>
      <c r="N49" s="67">
        <f t="shared" ref="N49:N71" si="12">IF(M49&lt;&gt;0,+H49-M49,0)</f>
        <v>0</v>
      </c>
      <c r="O49" s="67">
        <f t="shared" ref="O49:O71" si="13">+N49-L49</f>
        <v>0</v>
      </c>
      <c r="P49" s="4"/>
    </row>
    <row r="50" spans="2:16" ht="12.5">
      <c r="B50" t="str">
        <f t="shared" si="0"/>
        <v/>
      </c>
      <c r="C50" s="62">
        <f>IF(D11="","-",+C49+1)</f>
        <v>2051</v>
      </c>
      <c r="D50" s="71">
        <f>IF(F49+SUM(E$17:E49)=D$10,F49,D$10-SUM(E$17:E49))</f>
        <v>0</v>
      </c>
      <c r="E50" s="69">
        <f t="shared" ref="E50:E71" si="14">IF(+I$14&lt;F49,I$14,D50)</f>
        <v>0</v>
      </c>
      <c r="F50" s="68">
        <f t="shared" si="9"/>
        <v>0</v>
      </c>
      <c r="G50" s="70">
        <f t="shared" si="7"/>
        <v>0</v>
      </c>
      <c r="H50" s="52">
        <f t="shared" si="8"/>
        <v>0</v>
      </c>
      <c r="I50" s="65">
        <f t="shared" si="10"/>
        <v>0</v>
      </c>
      <c r="J50" s="65"/>
      <c r="K50" s="130"/>
      <c r="L50" s="67">
        <f t="shared" si="11"/>
        <v>0</v>
      </c>
      <c r="M50" s="130"/>
      <c r="N50" s="67">
        <f t="shared" si="12"/>
        <v>0</v>
      </c>
      <c r="O50" s="67">
        <f t="shared" si="13"/>
        <v>0</v>
      </c>
      <c r="P50" s="4"/>
    </row>
    <row r="51" spans="2:16" ht="12.5">
      <c r="B51" t="str">
        <f t="shared" si="0"/>
        <v/>
      </c>
      <c r="C51" s="62">
        <f>IF(D11="","-",+C50+1)</f>
        <v>2052</v>
      </c>
      <c r="D51" s="71">
        <f>IF(F50+SUM(E$17:E50)=D$10,F50,D$10-SUM(E$17:E50))</f>
        <v>0</v>
      </c>
      <c r="E51" s="69">
        <f t="shared" si="14"/>
        <v>0</v>
      </c>
      <c r="F51" s="68">
        <f t="shared" si="9"/>
        <v>0</v>
      </c>
      <c r="G51" s="70">
        <f t="shared" si="7"/>
        <v>0</v>
      </c>
      <c r="H51" s="52">
        <f t="shared" si="8"/>
        <v>0</v>
      </c>
      <c r="I51" s="65">
        <f t="shared" si="10"/>
        <v>0</v>
      </c>
      <c r="J51" s="65"/>
      <c r="K51" s="130"/>
      <c r="L51" s="67">
        <f t="shared" si="11"/>
        <v>0</v>
      </c>
      <c r="M51" s="130"/>
      <c r="N51" s="67">
        <f t="shared" si="12"/>
        <v>0</v>
      </c>
      <c r="O51" s="67">
        <f t="shared" si="13"/>
        <v>0</v>
      </c>
      <c r="P51" s="4"/>
    </row>
    <row r="52" spans="2:16" ht="12.5">
      <c r="B52" t="str">
        <f t="shared" si="0"/>
        <v/>
      </c>
      <c r="C52" s="62">
        <f>IF(D11="","-",+C51+1)</f>
        <v>2053</v>
      </c>
      <c r="D52" s="71">
        <f>IF(F51+SUM(E$17:E51)=D$10,F51,D$10-SUM(E$17:E51))</f>
        <v>0</v>
      </c>
      <c r="E52" s="69">
        <f t="shared" si="14"/>
        <v>0</v>
      </c>
      <c r="F52" s="68">
        <f t="shared" si="9"/>
        <v>0</v>
      </c>
      <c r="G52" s="70">
        <f t="shared" si="7"/>
        <v>0</v>
      </c>
      <c r="H52" s="52">
        <f t="shared" si="8"/>
        <v>0</v>
      </c>
      <c r="I52" s="65">
        <f t="shared" si="10"/>
        <v>0</v>
      </c>
      <c r="J52" s="65"/>
      <c r="K52" s="130"/>
      <c r="L52" s="67">
        <f t="shared" si="11"/>
        <v>0</v>
      </c>
      <c r="M52" s="130"/>
      <c r="N52" s="67">
        <f t="shared" si="12"/>
        <v>0</v>
      </c>
      <c r="O52" s="67">
        <f t="shared" si="13"/>
        <v>0</v>
      </c>
      <c r="P52" s="4"/>
    </row>
    <row r="53" spans="2:16" ht="12.5">
      <c r="B53" t="str">
        <f t="shared" si="0"/>
        <v/>
      </c>
      <c r="C53" s="62">
        <f>IF(D11="","-",+C52+1)</f>
        <v>2054</v>
      </c>
      <c r="D53" s="71">
        <f>IF(F52+SUM(E$17:E52)=D$10,F52,D$10-SUM(E$17:E52))</f>
        <v>0</v>
      </c>
      <c r="E53" s="69">
        <f t="shared" si="14"/>
        <v>0</v>
      </c>
      <c r="F53" s="68">
        <f t="shared" si="9"/>
        <v>0</v>
      </c>
      <c r="G53" s="70">
        <f t="shared" si="7"/>
        <v>0</v>
      </c>
      <c r="H53" s="52">
        <f t="shared" si="8"/>
        <v>0</v>
      </c>
      <c r="I53" s="65">
        <f t="shared" si="10"/>
        <v>0</v>
      </c>
      <c r="J53" s="65"/>
      <c r="K53" s="130"/>
      <c r="L53" s="67">
        <f t="shared" si="11"/>
        <v>0</v>
      </c>
      <c r="M53" s="130"/>
      <c r="N53" s="67">
        <f t="shared" si="12"/>
        <v>0</v>
      </c>
      <c r="O53" s="67">
        <f t="shared" si="13"/>
        <v>0</v>
      </c>
      <c r="P53" s="4"/>
    </row>
    <row r="54" spans="2:16" ht="12.5">
      <c r="B54" t="str">
        <f t="shared" si="0"/>
        <v/>
      </c>
      <c r="C54" s="62">
        <f>IF(D11="","-",+C53+1)</f>
        <v>2055</v>
      </c>
      <c r="D54" s="71">
        <f>IF(F53+SUM(E$17:E53)=D$10,F53,D$10-SUM(E$17:E53))</f>
        <v>0</v>
      </c>
      <c r="E54" s="69">
        <f t="shared" si="14"/>
        <v>0</v>
      </c>
      <c r="F54" s="68">
        <f t="shared" si="9"/>
        <v>0</v>
      </c>
      <c r="G54" s="70">
        <f t="shared" si="7"/>
        <v>0</v>
      </c>
      <c r="H54" s="52">
        <f t="shared" si="8"/>
        <v>0</v>
      </c>
      <c r="I54" s="65">
        <f t="shared" si="10"/>
        <v>0</v>
      </c>
      <c r="J54" s="65"/>
      <c r="K54" s="130"/>
      <c r="L54" s="67">
        <f t="shared" si="11"/>
        <v>0</v>
      </c>
      <c r="M54" s="130"/>
      <c r="N54" s="67">
        <f t="shared" si="12"/>
        <v>0</v>
      </c>
      <c r="O54" s="67">
        <f t="shared" si="13"/>
        <v>0</v>
      </c>
      <c r="P54" s="4"/>
    </row>
    <row r="55" spans="2:16" ht="12.5">
      <c r="B55" t="str">
        <f t="shared" si="0"/>
        <v/>
      </c>
      <c r="C55" s="62">
        <f>IF(D11="","-",+C54+1)</f>
        <v>2056</v>
      </c>
      <c r="D55" s="71">
        <f>IF(F54+SUM(E$17:E54)=D$10,F54,D$10-SUM(E$17:E54))</f>
        <v>0</v>
      </c>
      <c r="E55" s="69">
        <f t="shared" si="14"/>
        <v>0</v>
      </c>
      <c r="F55" s="68">
        <f t="shared" si="9"/>
        <v>0</v>
      </c>
      <c r="G55" s="70">
        <f t="shared" si="7"/>
        <v>0</v>
      </c>
      <c r="H55" s="52">
        <f t="shared" si="8"/>
        <v>0</v>
      </c>
      <c r="I55" s="65">
        <f t="shared" si="10"/>
        <v>0</v>
      </c>
      <c r="J55" s="65"/>
      <c r="K55" s="130"/>
      <c r="L55" s="67">
        <f t="shared" si="11"/>
        <v>0</v>
      </c>
      <c r="M55" s="130"/>
      <c r="N55" s="67">
        <f t="shared" si="12"/>
        <v>0</v>
      </c>
      <c r="O55" s="67">
        <f t="shared" si="13"/>
        <v>0</v>
      </c>
      <c r="P55" s="4"/>
    </row>
    <row r="56" spans="2:16" ht="12.5">
      <c r="B56" t="str">
        <f t="shared" si="0"/>
        <v/>
      </c>
      <c r="C56" s="62">
        <f>IF(D11="","-",+C55+1)</f>
        <v>2057</v>
      </c>
      <c r="D56" s="71">
        <f>IF(F55+SUM(E$17:E55)=D$10,F55,D$10-SUM(E$17:E55))</f>
        <v>0</v>
      </c>
      <c r="E56" s="69">
        <f t="shared" si="14"/>
        <v>0</v>
      </c>
      <c r="F56" s="68">
        <f t="shared" si="9"/>
        <v>0</v>
      </c>
      <c r="G56" s="70">
        <f t="shared" si="7"/>
        <v>0</v>
      </c>
      <c r="H56" s="52">
        <f t="shared" si="8"/>
        <v>0</v>
      </c>
      <c r="I56" s="65">
        <f t="shared" si="10"/>
        <v>0</v>
      </c>
      <c r="J56" s="65"/>
      <c r="K56" s="130"/>
      <c r="L56" s="67">
        <f t="shared" si="11"/>
        <v>0</v>
      </c>
      <c r="M56" s="130"/>
      <c r="N56" s="67">
        <f t="shared" si="12"/>
        <v>0</v>
      </c>
      <c r="O56" s="67">
        <f t="shared" si="13"/>
        <v>0</v>
      </c>
      <c r="P56" s="4"/>
    </row>
    <row r="57" spans="2:16" ht="12.5">
      <c r="B57" t="str">
        <f t="shared" si="0"/>
        <v/>
      </c>
      <c r="C57" s="62">
        <f>IF(D11="","-",+C56+1)</f>
        <v>2058</v>
      </c>
      <c r="D57" s="71">
        <f>IF(F56+SUM(E$17:E56)=D$10,F56,D$10-SUM(E$17:E56))</f>
        <v>0</v>
      </c>
      <c r="E57" s="69">
        <f t="shared" si="14"/>
        <v>0</v>
      </c>
      <c r="F57" s="68">
        <f t="shared" si="9"/>
        <v>0</v>
      </c>
      <c r="G57" s="70">
        <f t="shared" si="7"/>
        <v>0</v>
      </c>
      <c r="H57" s="52">
        <f t="shared" si="8"/>
        <v>0</v>
      </c>
      <c r="I57" s="65">
        <f t="shared" si="10"/>
        <v>0</v>
      </c>
      <c r="J57" s="65"/>
      <c r="K57" s="130"/>
      <c r="L57" s="67">
        <f t="shared" si="11"/>
        <v>0</v>
      </c>
      <c r="M57" s="130"/>
      <c r="N57" s="67">
        <f t="shared" si="12"/>
        <v>0</v>
      </c>
      <c r="O57" s="67">
        <f t="shared" si="13"/>
        <v>0</v>
      </c>
      <c r="P57" s="4"/>
    </row>
    <row r="58" spans="2:16" ht="12.5">
      <c r="B58" t="str">
        <f t="shared" si="0"/>
        <v/>
      </c>
      <c r="C58" s="62">
        <f>IF(D11="","-",+C57+1)</f>
        <v>2059</v>
      </c>
      <c r="D58" s="71">
        <f>IF(F57+SUM(E$17:E57)=D$10,F57,D$10-SUM(E$17:E57))</f>
        <v>0</v>
      </c>
      <c r="E58" s="69">
        <f t="shared" si="14"/>
        <v>0</v>
      </c>
      <c r="F58" s="68">
        <f t="shared" si="9"/>
        <v>0</v>
      </c>
      <c r="G58" s="70">
        <f t="shared" si="7"/>
        <v>0</v>
      </c>
      <c r="H58" s="52">
        <f t="shared" si="8"/>
        <v>0</v>
      </c>
      <c r="I58" s="65">
        <f t="shared" si="10"/>
        <v>0</v>
      </c>
      <c r="J58" s="65"/>
      <c r="K58" s="130"/>
      <c r="L58" s="67">
        <f t="shared" si="11"/>
        <v>0</v>
      </c>
      <c r="M58" s="130"/>
      <c r="N58" s="67">
        <f t="shared" si="12"/>
        <v>0</v>
      </c>
      <c r="O58" s="67">
        <f t="shared" si="13"/>
        <v>0</v>
      </c>
      <c r="P58" s="4"/>
    </row>
    <row r="59" spans="2:16" ht="12.5">
      <c r="B59" t="str">
        <f t="shared" si="0"/>
        <v/>
      </c>
      <c r="C59" s="62">
        <f>IF(D11="","-",+C58+1)</f>
        <v>2060</v>
      </c>
      <c r="D59" s="71">
        <f>IF(F58+SUM(E$17:E58)=D$10,F58,D$10-SUM(E$17:E58))</f>
        <v>0</v>
      </c>
      <c r="E59" s="69">
        <f t="shared" si="14"/>
        <v>0</v>
      </c>
      <c r="F59" s="68">
        <f t="shared" si="9"/>
        <v>0</v>
      </c>
      <c r="G59" s="70">
        <f t="shared" si="7"/>
        <v>0</v>
      </c>
      <c r="H59" s="52">
        <f t="shared" si="8"/>
        <v>0</v>
      </c>
      <c r="I59" s="65">
        <f t="shared" si="10"/>
        <v>0</v>
      </c>
      <c r="J59" s="65"/>
      <c r="K59" s="130"/>
      <c r="L59" s="67">
        <f t="shared" si="11"/>
        <v>0</v>
      </c>
      <c r="M59" s="130"/>
      <c r="N59" s="67">
        <f t="shared" si="12"/>
        <v>0</v>
      </c>
      <c r="O59" s="67">
        <f t="shared" si="13"/>
        <v>0</v>
      </c>
      <c r="P59" s="4"/>
    </row>
    <row r="60" spans="2:16" ht="12.5">
      <c r="B60" t="str">
        <f t="shared" si="0"/>
        <v/>
      </c>
      <c r="C60" s="62">
        <f>IF(D11="","-",+C59+1)</f>
        <v>2061</v>
      </c>
      <c r="D60" s="71">
        <f>IF(F59+SUM(E$17:E59)=D$10,F59,D$10-SUM(E$17:E59))</f>
        <v>0</v>
      </c>
      <c r="E60" s="69">
        <f t="shared" si="14"/>
        <v>0</v>
      </c>
      <c r="F60" s="68">
        <f t="shared" si="9"/>
        <v>0</v>
      </c>
      <c r="G60" s="70">
        <f t="shared" si="7"/>
        <v>0</v>
      </c>
      <c r="H60" s="52">
        <f t="shared" si="8"/>
        <v>0</v>
      </c>
      <c r="I60" s="65">
        <f t="shared" si="10"/>
        <v>0</v>
      </c>
      <c r="J60" s="65"/>
      <c r="K60" s="130"/>
      <c r="L60" s="67">
        <f t="shared" si="11"/>
        <v>0</v>
      </c>
      <c r="M60" s="130"/>
      <c r="N60" s="67">
        <f t="shared" si="12"/>
        <v>0</v>
      </c>
      <c r="O60" s="67">
        <f t="shared" si="13"/>
        <v>0</v>
      </c>
      <c r="P60" s="4"/>
    </row>
    <row r="61" spans="2:16" ht="12.5">
      <c r="B61" t="str">
        <f t="shared" si="0"/>
        <v/>
      </c>
      <c r="C61" s="62">
        <f>IF(D11="","-",+C60+1)</f>
        <v>2062</v>
      </c>
      <c r="D61" s="71">
        <f>IF(F60+SUM(E$17:E60)=D$10,F60,D$10-SUM(E$17:E60))</f>
        <v>0</v>
      </c>
      <c r="E61" s="69">
        <f t="shared" si="14"/>
        <v>0</v>
      </c>
      <c r="F61" s="68">
        <f t="shared" si="9"/>
        <v>0</v>
      </c>
      <c r="G61" s="72">
        <f t="shared" si="7"/>
        <v>0</v>
      </c>
      <c r="H61" s="52">
        <f t="shared" si="8"/>
        <v>0</v>
      </c>
      <c r="I61" s="65">
        <f t="shared" si="10"/>
        <v>0</v>
      </c>
      <c r="J61" s="65"/>
      <c r="K61" s="130"/>
      <c r="L61" s="67">
        <f t="shared" si="11"/>
        <v>0</v>
      </c>
      <c r="M61" s="130"/>
      <c r="N61" s="67">
        <f t="shared" si="12"/>
        <v>0</v>
      </c>
      <c r="O61" s="67">
        <f t="shared" si="13"/>
        <v>0</v>
      </c>
      <c r="P61" s="4"/>
    </row>
    <row r="62" spans="2:16" ht="12.5">
      <c r="B62" t="str">
        <f t="shared" si="0"/>
        <v/>
      </c>
      <c r="C62" s="62">
        <f>IF(D11="","-",+C61+1)</f>
        <v>2063</v>
      </c>
      <c r="D62" s="71">
        <f>IF(F61+SUM(E$17:E61)=D$10,F61,D$10-SUM(E$17:E61))</f>
        <v>0</v>
      </c>
      <c r="E62" s="69">
        <f t="shared" si="14"/>
        <v>0</v>
      </c>
      <c r="F62" s="68">
        <f t="shared" si="9"/>
        <v>0</v>
      </c>
      <c r="G62" s="72">
        <f t="shared" si="7"/>
        <v>0</v>
      </c>
      <c r="H62" s="52">
        <f t="shared" si="8"/>
        <v>0</v>
      </c>
      <c r="I62" s="65">
        <f t="shared" si="10"/>
        <v>0</v>
      </c>
      <c r="J62" s="65"/>
      <c r="K62" s="130"/>
      <c r="L62" s="67">
        <f t="shared" si="11"/>
        <v>0</v>
      </c>
      <c r="M62" s="130"/>
      <c r="N62" s="67">
        <f t="shared" si="12"/>
        <v>0</v>
      </c>
      <c r="O62" s="67">
        <f t="shared" si="13"/>
        <v>0</v>
      </c>
      <c r="P62" s="4"/>
    </row>
    <row r="63" spans="2:16" ht="12.5">
      <c r="B63" t="str">
        <f t="shared" si="0"/>
        <v/>
      </c>
      <c r="C63" s="62">
        <f>IF(D11="","-",+C62+1)</f>
        <v>2064</v>
      </c>
      <c r="D63" s="71">
        <f>IF(F62+SUM(E$17:E62)=D$10,F62,D$10-SUM(E$17:E62))</f>
        <v>0</v>
      </c>
      <c r="E63" s="69">
        <f t="shared" si="14"/>
        <v>0</v>
      </c>
      <c r="F63" s="68">
        <f t="shared" si="9"/>
        <v>0</v>
      </c>
      <c r="G63" s="72">
        <f t="shared" si="7"/>
        <v>0</v>
      </c>
      <c r="H63" s="52">
        <f t="shared" si="8"/>
        <v>0</v>
      </c>
      <c r="I63" s="65">
        <f t="shared" si="10"/>
        <v>0</v>
      </c>
      <c r="J63" s="65"/>
      <c r="K63" s="130"/>
      <c r="L63" s="67">
        <f t="shared" si="11"/>
        <v>0</v>
      </c>
      <c r="M63" s="130"/>
      <c r="N63" s="67">
        <f t="shared" si="12"/>
        <v>0</v>
      </c>
      <c r="O63" s="67">
        <f t="shared" si="13"/>
        <v>0</v>
      </c>
      <c r="P63" s="4"/>
    </row>
    <row r="64" spans="2:16" ht="12.5">
      <c r="B64" t="str">
        <f t="shared" si="0"/>
        <v/>
      </c>
      <c r="C64" s="62">
        <f>IF(D11="","-",+C63+1)</f>
        <v>2065</v>
      </c>
      <c r="D64" s="71">
        <f>IF(F63+SUM(E$17:E63)=D$10,F63,D$10-SUM(E$17:E63))</f>
        <v>0</v>
      </c>
      <c r="E64" s="69">
        <f t="shared" si="14"/>
        <v>0</v>
      </c>
      <c r="F64" s="68">
        <f t="shared" si="9"/>
        <v>0</v>
      </c>
      <c r="G64" s="72">
        <f t="shared" si="7"/>
        <v>0</v>
      </c>
      <c r="H64" s="52">
        <f t="shared" si="8"/>
        <v>0</v>
      </c>
      <c r="I64" s="65">
        <f t="shared" si="10"/>
        <v>0</v>
      </c>
      <c r="J64" s="65"/>
      <c r="K64" s="130"/>
      <c r="L64" s="67">
        <f t="shared" si="11"/>
        <v>0</v>
      </c>
      <c r="M64" s="130"/>
      <c r="N64" s="67">
        <f t="shared" si="12"/>
        <v>0</v>
      </c>
      <c r="O64" s="67">
        <f t="shared" si="13"/>
        <v>0</v>
      </c>
      <c r="P64" s="4"/>
    </row>
    <row r="65" spans="2:16" ht="12.5">
      <c r="B65" t="str">
        <f t="shared" si="0"/>
        <v/>
      </c>
      <c r="C65" s="62">
        <f>IF(D11="","-",+C64+1)</f>
        <v>2066</v>
      </c>
      <c r="D65" s="71">
        <f>IF(F64+SUM(E$17:E64)=D$10,F64,D$10-SUM(E$17:E64))</f>
        <v>0</v>
      </c>
      <c r="E65" s="69">
        <f t="shared" si="14"/>
        <v>0</v>
      </c>
      <c r="F65" s="68">
        <f t="shared" si="9"/>
        <v>0</v>
      </c>
      <c r="G65" s="72">
        <f t="shared" si="7"/>
        <v>0</v>
      </c>
      <c r="H65" s="52">
        <f t="shared" si="8"/>
        <v>0</v>
      </c>
      <c r="I65" s="65">
        <f t="shared" si="10"/>
        <v>0</v>
      </c>
      <c r="J65" s="65"/>
      <c r="K65" s="130"/>
      <c r="L65" s="67">
        <f t="shared" si="11"/>
        <v>0</v>
      </c>
      <c r="M65" s="130"/>
      <c r="N65" s="67">
        <f t="shared" si="12"/>
        <v>0</v>
      </c>
      <c r="O65" s="67">
        <f t="shared" si="13"/>
        <v>0</v>
      </c>
      <c r="P65" s="4"/>
    </row>
    <row r="66" spans="2:16" ht="12.5">
      <c r="B66" t="str">
        <f t="shared" si="0"/>
        <v/>
      </c>
      <c r="C66" s="62">
        <f>IF(D11="","-",+C65+1)</f>
        <v>2067</v>
      </c>
      <c r="D66" s="71">
        <f>IF(F65+SUM(E$17:E65)=D$10,F65,D$10-SUM(E$17:E65))</f>
        <v>0</v>
      </c>
      <c r="E66" s="69">
        <f t="shared" si="14"/>
        <v>0</v>
      </c>
      <c r="F66" s="68">
        <f t="shared" si="9"/>
        <v>0</v>
      </c>
      <c r="G66" s="72">
        <f t="shared" si="7"/>
        <v>0</v>
      </c>
      <c r="H66" s="52">
        <f t="shared" si="8"/>
        <v>0</v>
      </c>
      <c r="I66" s="65">
        <f t="shared" si="10"/>
        <v>0</v>
      </c>
      <c r="J66" s="65"/>
      <c r="K66" s="130"/>
      <c r="L66" s="67">
        <f t="shared" si="11"/>
        <v>0</v>
      </c>
      <c r="M66" s="130"/>
      <c r="N66" s="67">
        <f t="shared" si="12"/>
        <v>0</v>
      </c>
      <c r="O66" s="67">
        <f t="shared" si="13"/>
        <v>0</v>
      </c>
      <c r="P66" s="4"/>
    </row>
    <row r="67" spans="2:16" ht="12.5">
      <c r="B67" t="str">
        <f t="shared" si="0"/>
        <v/>
      </c>
      <c r="C67" s="62">
        <f>IF(D11="","-",+C66+1)</f>
        <v>2068</v>
      </c>
      <c r="D67" s="71">
        <f>IF(F66+SUM(E$17:E66)=D$10,F66,D$10-SUM(E$17:E66))</f>
        <v>0</v>
      </c>
      <c r="E67" s="69">
        <f t="shared" si="14"/>
        <v>0</v>
      </c>
      <c r="F67" s="68">
        <f t="shared" si="9"/>
        <v>0</v>
      </c>
      <c r="G67" s="72">
        <f t="shared" si="7"/>
        <v>0</v>
      </c>
      <c r="H67" s="52">
        <f t="shared" si="8"/>
        <v>0</v>
      </c>
      <c r="I67" s="65">
        <f t="shared" si="10"/>
        <v>0</v>
      </c>
      <c r="J67" s="65"/>
      <c r="K67" s="130"/>
      <c r="L67" s="67">
        <f t="shared" si="11"/>
        <v>0</v>
      </c>
      <c r="M67" s="130"/>
      <c r="N67" s="67">
        <f t="shared" si="12"/>
        <v>0</v>
      </c>
      <c r="O67" s="67">
        <f t="shared" si="13"/>
        <v>0</v>
      </c>
      <c r="P67" s="4"/>
    </row>
    <row r="68" spans="2:16" ht="12.5">
      <c r="B68" t="str">
        <f t="shared" si="0"/>
        <v/>
      </c>
      <c r="C68" s="62">
        <f>IF(D11="","-",+C67+1)</f>
        <v>2069</v>
      </c>
      <c r="D68" s="71">
        <f>IF(F67+SUM(E$17:E67)=D$10,F67,D$10-SUM(E$17:E67))</f>
        <v>0</v>
      </c>
      <c r="E68" s="69">
        <f t="shared" si="14"/>
        <v>0</v>
      </c>
      <c r="F68" s="68">
        <f t="shared" si="9"/>
        <v>0</v>
      </c>
      <c r="G68" s="72">
        <f t="shared" si="7"/>
        <v>0</v>
      </c>
      <c r="H68" s="52">
        <f t="shared" si="8"/>
        <v>0</v>
      </c>
      <c r="I68" s="65">
        <f t="shared" si="10"/>
        <v>0</v>
      </c>
      <c r="J68" s="65"/>
      <c r="K68" s="130"/>
      <c r="L68" s="67">
        <f t="shared" si="11"/>
        <v>0</v>
      </c>
      <c r="M68" s="130"/>
      <c r="N68" s="67">
        <f t="shared" si="12"/>
        <v>0</v>
      </c>
      <c r="O68" s="67">
        <f t="shared" si="13"/>
        <v>0</v>
      </c>
      <c r="P68" s="4"/>
    </row>
    <row r="69" spans="2:16" ht="12.5">
      <c r="B69" t="str">
        <f t="shared" si="0"/>
        <v/>
      </c>
      <c r="C69" s="62">
        <f>IF(D11="","-",+C68+1)</f>
        <v>2070</v>
      </c>
      <c r="D69" s="71">
        <f>IF(F68+SUM(E$17:E68)=D$10,F68,D$10-SUM(E$17:E68))</f>
        <v>0</v>
      </c>
      <c r="E69" s="69">
        <f t="shared" si="14"/>
        <v>0</v>
      </c>
      <c r="F69" s="68">
        <f t="shared" si="9"/>
        <v>0</v>
      </c>
      <c r="G69" s="72">
        <f t="shared" si="7"/>
        <v>0</v>
      </c>
      <c r="H69" s="52">
        <f t="shared" si="8"/>
        <v>0</v>
      </c>
      <c r="I69" s="65">
        <f t="shared" si="10"/>
        <v>0</v>
      </c>
      <c r="J69" s="65"/>
      <c r="K69" s="130"/>
      <c r="L69" s="67">
        <f t="shared" si="11"/>
        <v>0</v>
      </c>
      <c r="M69" s="130"/>
      <c r="N69" s="67">
        <f t="shared" si="12"/>
        <v>0</v>
      </c>
      <c r="O69" s="67">
        <f t="shared" si="13"/>
        <v>0</v>
      </c>
      <c r="P69" s="4"/>
    </row>
    <row r="70" spans="2:16" ht="12.5">
      <c r="B70" t="str">
        <f t="shared" si="0"/>
        <v/>
      </c>
      <c r="C70" s="62">
        <f>IF(D11="","-",+C69+1)</f>
        <v>2071</v>
      </c>
      <c r="D70" s="71">
        <f>IF(F69+SUM(E$17:E69)=D$10,F69,D$10-SUM(E$17:E69))</f>
        <v>0</v>
      </c>
      <c r="E70" s="69">
        <f t="shared" si="14"/>
        <v>0</v>
      </c>
      <c r="F70" s="68">
        <f t="shared" si="9"/>
        <v>0</v>
      </c>
      <c r="G70" s="72">
        <f t="shared" si="7"/>
        <v>0</v>
      </c>
      <c r="H70" s="52">
        <f t="shared" si="8"/>
        <v>0</v>
      </c>
      <c r="I70" s="65">
        <f t="shared" si="10"/>
        <v>0</v>
      </c>
      <c r="J70" s="65"/>
      <c r="K70" s="130"/>
      <c r="L70" s="67">
        <f t="shared" si="11"/>
        <v>0</v>
      </c>
      <c r="M70" s="130"/>
      <c r="N70" s="67">
        <f t="shared" si="12"/>
        <v>0</v>
      </c>
      <c r="O70" s="67">
        <f t="shared" si="13"/>
        <v>0</v>
      </c>
      <c r="P70" s="4"/>
    </row>
    <row r="71" spans="2:16" ht="12.5">
      <c r="B71" t="str">
        <f t="shared" si="0"/>
        <v/>
      </c>
      <c r="C71" s="62">
        <f>IF(D11="","-",+C70+1)</f>
        <v>2072</v>
      </c>
      <c r="D71" s="71">
        <f>IF(F70+SUM(E$17:E70)=D$10,F70,D$10-SUM(E$17:E70))</f>
        <v>0</v>
      </c>
      <c r="E71" s="69">
        <f t="shared" si="14"/>
        <v>0</v>
      </c>
      <c r="F71" s="68">
        <f t="shared" si="9"/>
        <v>0</v>
      </c>
      <c r="G71" s="72">
        <f t="shared" si="7"/>
        <v>0</v>
      </c>
      <c r="H71" s="52">
        <f t="shared" si="8"/>
        <v>0</v>
      </c>
      <c r="I71" s="65">
        <f t="shared" si="10"/>
        <v>0</v>
      </c>
      <c r="J71" s="65"/>
      <c r="K71" s="130"/>
      <c r="L71" s="67">
        <f t="shared" si="11"/>
        <v>0</v>
      </c>
      <c r="M71" s="130"/>
      <c r="N71" s="67">
        <f t="shared" si="12"/>
        <v>0</v>
      </c>
      <c r="O71" s="67">
        <f t="shared" si="13"/>
        <v>0</v>
      </c>
      <c r="P71" s="4"/>
    </row>
    <row r="72" spans="2:16" ht="12.5">
      <c r="C72" s="62">
        <f>IF(D12="","-",+C71+1)</f>
        <v>2073</v>
      </c>
      <c r="D72" s="71">
        <f>IF(F71+SUM(E$17:E71)=D$10,F71,D$10-SUM(E$17:E71))</f>
        <v>0</v>
      </c>
      <c r="E72" s="69">
        <f>IF(+I$14&lt;F71,I$14,D72)</f>
        <v>0</v>
      </c>
      <c r="F72" s="68">
        <f>+D72-E72</f>
        <v>0</v>
      </c>
      <c r="G72" s="72">
        <f>(D72+F72)/2*I$12+E72</f>
        <v>0</v>
      </c>
      <c r="H72" s="52">
        <f>+(D72+F72)/2*I$13+E72</f>
        <v>0</v>
      </c>
      <c r="I72" s="65">
        <f>H72-G72</f>
        <v>0</v>
      </c>
      <c r="J72" s="65"/>
      <c r="K72" s="130"/>
      <c r="L72" s="67">
        <f>IF(K72&lt;&gt;0,+G72-K72,0)</f>
        <v>0</v>
      </c>
      <c r="M72" s="130"/>
      <c r="N72" s="67">
        <f>IF(M72&lt;&gt;0,+H72-M72,0)</f>
        <v>0</v>
      </c>
      <c r="O72" s="67">
        <f>+N72-L72</f>
        <v>0</v>
      </c>
      <c r="P72" s="4"/>
    </row>
    <row r="73" spans="2:16" ht="13" thickBot="1">
      <c r="B73" t="str">
        <f>IF(D73=F71,"","IU")</f>
        <v/>
      </c>
      <c r="C73" s="73">
        <f>IF(D13="","-",+C72+1)</f>
        <v>2074</v>
      </c>
      <c r="D73" s="75">
        <f>IF(F72+SUM(E$17:E72)=D$10,F72,D$10-SUM(E$17:E72))</f>
        <v>0</v>
      </c>
      <c r="E73" s="75">
        <f>IF(+I$14&lt;F72,I$14,D73)</f>
        <v>0</v>
      </c>
      <c r="F73" s="74">
        <f>+D73-E73</f>
        <v>0</v>
      </c>
      <c r="G73" s="76">
        <f>(D73+F73)/2*I$12+E73</f>
        <v>0</v>
      </c>
      <c r="H73" s="34">
        <f>+(D73+F73)/2*I$13+E73</f>
        <v>0</v>
      </c>
      <c r="I73" s="77">
        <f>H73-G73</f>
        <v>0</v>
      </c>
      <c r="J73" s="65"/>
      <c r="K73" s="131"/>
      <c r="L73" s="78">
        <f>IF(K73&lt;&gt;0,+G73-K73,0)</f>
        <v>0</v>
      </c>
      <c r="M73" s="131"/>
      <c r="N73" s="78">
        <f>IF(M73&lt;&gt;0,+H73-M73,0)</f>
        <v>0</v>
      </c>
      <c r="O73" s="78">
        <f>+N73-L73</f>
        <v>0</v>
      </c>
      <c r="P73" s="4"/>
    </row>
    <row r="74" spans="2:16" ht="12.5">
      <c r="C74" s="63" t="s">
        <v>75</v>
      </c>
      <c r="D74" s="19"/>
      <c r="E74" s="19">
        <f>SUM(E17:E73)</f>
        <v>0</v>
      </c>
      <c r="F74" s="19"/>
      <c r="G74" s="19">
        <f>SUM(G17:G73)</f>
        <v>0</v>
      </c>
      <c r="H74" s="19">
        <f>SUM(H17:H73)</f>
        <v>0</v>
      </c>
      <c r="I74" s="19">
        <f>SUM(I17:I73)</f>
        <v>0</v>
      </c>
      <c r="J74" s="19"/>
      <c r="K74" s="19"/>
      <c r="L74" s="19"/>
      <c r="M74" s="19"/>
      <c r="N74" s="19"/>
      <c r="O74" s="4"/>
      <c r="P74" s="4"/>
    </row>
    <row r="75" spans="2:16" ht="12.5">
      <c r="D75" s="2"/>
      <c r="E75" s="1"/>
      <c r="F75" s="1"/>
      <c r="G75" s="1"/>
      <c r="H75" s="3"/>
      <c r="I75" s="3"/>
      <c r="J75" s="19"/>
      <c r="K75" s="3"/>
      <c r="L75" s="3"/>
      <c r="M75" s="3"/>
      <c r="N75" s="3"/>
      <c r="O75" s="1"/>
      <c r="P75" s="1"/>
    </row>
    <row r="76" spans="2:16" ht="13">
      <c r="C76" s="79" t="s">
        <v>95</v>
      </c>
      <c r="D76" s="2"/>
      <c r="E76" s="1"/>
      <c r="F76" s="1"/>
      <c r="G76" s="1"/>
      <c r="H76" s="3"/>
      <c r="I76" s="3"/>
      <c r="J76" s="19"/>
      <c r="K76" s="3"/>
      <c r="L76" s="3"/>
      <c r="M76" s="3"/>
      <c r="N76" s="3"/>
      <c r="O76" s="1"/>
      <c r="P76" s="1"/>
    </row>
    <row r="77" spans="2:16" ht="13">
      <c r="C77" s="31" t="s">
        <v>76</v>
      </c>
      <c r="D77" s="2"/>
      <c r="E77" s="1"/>
      <c r="F77" s="1"/>
      <c r="G77" s="1"/>
      <c r="H77" s="3"/>
      <c r="I77" s="3"/>
      <c r="J77" s="19"/>
      <c r="K77" s="3"/>
      <c r="L77" s="3"/>
      <c r="M77" s="3"/>
      <c r="N77" s="3"/>
      <c r="O77" s="4"/>
      <c r="P77" s="4"/>
    </row>
    <row r="78" spans="2:16" ht="13">
      <c r="C78" s="31" t="s">
        <v>77</v>
      </c>
      <c r="D78" s="63"/>
      <c r="E78" s="63"/>
      <c r="F78" s="63"/>
      <c r="G78" s="19"/>
      <c r="H78" s="19"/>
      <c r="I78" s="80"/>
      <c r="J78" s="80"/>
      <c r="K78" s="80"/>
      <c r="L78" s="80"/>
      <c r="M78" s="80"/>
      <c r="N78" s="80"/>
      <c r="O78" s="4"/>
      <c r="P78" s="4"/>
    </row>
    <row r="79" spans="2:16" ht="13">
      <c r="C79" s="31"/>
      <c r="D79" s="63"/>
      <c r="E79" s="63"/>
      <c r="F79" s="63"/>
      <c r="G79" s="19"/>
      <c r="H79" s="19"/>
      <c r="I79" s="80"/>
      <c r="J79" s="80"/>
      <c r="K79" s="80"/>
      <c r="L79" s="80"/>
      <c r="M79" s="80"/>
      <c r="N79" s="80"/>
      <c r="O79" s="4"/>
      <c r="P79" s="1"/>
    </row>
    <row r="80" spans="2:16" ht="12.5">
      <c r="B80" s="1"/>
      <c r="C80" s="9"/>
      <c r="D80" s="2"/>
      <c r="E80" s="1"/>
      <c r="F80" s="17"/>
      <c r="G80" s="1"/>
      <c r="H80" s="3"/>
      <c r="I80" s="1"/>
      <c r="J80" s="4"/>
      <c r="K80" s="1"/>
      <c r="L80" s="1"/>
      <c r="M80" s="1"/>
      <c r="N80" s="1"/>
      <c r="O80" s="1"/>
      <c r="P80" s="1"/>
    </row>
    <row r="81" spans="1:16" ht="17.5">
      <c r="B81" s="1"/>
      <c r="C81" s="109"/>
      <c r="D81" s="2"/>
      <c r="E81" s="1"/>
      <c r="F81" s="17"/>
      <c r="G81" s="1"/>
      <c r="H81" s="3"/>
      <c r="I81" s="1"/>
      <c r="J81" s="4"/>
      <c r="K81" s="1"/>
      <c r="L81" s="1"/>
      <c r="M81" s="1"/>
      <c r="N81" s="1"/>
      <c r="P81" s="111" t="s">
        <v>128</v>
      </c>
    </row>
    <row r="82" spans="1:16" ht="12.5">
      <c r="B82" s="1"/>
      <c r="C82" s="9"/>
      <c r="D82" s="2"/>
      <c r="E82" s="1"/>
      <c r="F82" s="17"/>
      <c r="G82" s="1"/>
      <c r="H82" s="3"/>
      <c r="I82" s="1"/>
      <c r="J82" s="4"/>
      <c r="K82" s="1"/>
      <c r="L82" s="1"/>
      <c r="M82" s="1"/>
      <c r="N82" s="1"/>
      <c r="O82" s="1"/>
      <c r="P82" s="1"/>
    </row>
    <row r="83" spans="1:16" ht="12.5">
      <c r="B83" s="1"/>
      <c r="C83" s="9"/>
      <c r="D83" s="2"/>
      <c r="E83" s="1"/>
      <c r="F83" s="17"/>
      <c r="G83" s="1"/>
      <c r="H83" s="3"/>
      <c r="I83" s="1"/>
      <c r="J83" s="4"/>
      <c r="K83" s="1"/>
      <c r="L83" s="1"/>
      <c r="M83" s="1"/>
      <c r="N83" s="1"/>
      <c r="O83" s="1"/>
      <c r="P83" s="1"/>
    </row>
    <row r="84" spans="1:16" ht="20">
      <c r="A84" s="110" t="s">
        <v>190</v>
      </c>
      <c r="B84" s="1"/>
      <c r="C84" s="9"/>
      <c r="D84" s="2"/>
      <c r="E84" s="1"/>
      <c r="F84" s="14"/>
      <c r="G84" s="14"/>
      <c r="H84" s="1"/>
      <c r="I84" s="3"/>
      <c r="K84" s="7"/>
      <c r="L84" s="18"/>
      <c r="M84" s="18"/>
      <c r="P84" s="18" t="str">
        <f ca="1">P1</f>
        <v>OKT Project nk of 23</v>
      </c>
    </row>
    <row r="85" spans="1:16" ht="17.5">
      <c r="B85" s="1"/>
      <c r="C85" s="1"/>
      <c r="D85" s="2"/>
      <c r="E85" s="1"/>
      <c r="F85" s="1"/>
      <c r="G85" s="1"/>
      <c r="H85" s="1"/>
      <c r="I85" s="3"/>
      <c r="J85" s="1"/>
      <c r="K85" s="4"/>
      <c r="L85" s="1"/>
      <c r="M85" s="1"/>
      <c r="P85" s="117" t="s">
        <v>132</v>
      </c>
    </row>
    <row r="86" spans="1:16" ht="17.5" thickBot="1">
      <c r="B86" s="5" t="s">
        <v>42</v>
      </c>
      <c r="C86" s="82" t="s">
        <v>81</v>
      </c>
      <c r="D86" s="2"/>
      <c r="E86" s="1"/>
      <c r="F86" s="1"/>
      <c r="G86" s="1"/>
      <c r="H86" s="1"/>
      <c r="I86" s="3"/>
      <c r="J86" s="3"/>
      <c r="K86" s="19"/>
      <c r="L86" s="3"/>
      <c r="M86" s="3"/>
      <c r="N86" s="3"/>
      <c r="O86" s="19"/>
      <c r="P86" s="1"/>
    </row>
    <row r="87" spans="1:16" ht="16" thickBot="1">
      <c r="C87" s="12"/>
      <c r="D87" s="2"/>
      <c r="E87" s="1"/>
      <c r="F87" s="1"/>
      <c r="G87" s="1"/>
      <c r="H87" s="1"/>
      <c r="I87" s="3"/>
      <c r="J87" s="3"/>
      <c r="K87" s="19"/>
      <c r="L87" s="118">
        <f>+J93</f>
        <v>2023</v>
      </c>
      <c r="M87" s="119" t="s">
        <v>9</v>
      </c>
      <c r="N87" s="120" t="s">
        <v>134</v>
      </c>
      <c r="O87" s="121" t="s">
        <v>11</v>
      </c>
      <c r="P87" s="1"/>
    </row>
    <row r="88" spans="1:16" ht="15.5">
      <c r="C88" s="107" t="s">
        <v>44</v>
      </c>
      <c r="D88" s="2"/>
      <c r="E88" s="1"/>
      <c r="F88" s="1"/>
      <c r="G88" s="1"/>
      <c r="H88" s="21"/>
      <c r="I88" s="1" t="s">
        <v>45</v>
      </c>
      <c r="J88" s="1"/>
      <c r="K88" s="122"/>
      <c r="L88" s="123" t="s">
        <v>253</v>
      </c>
      <c r="M88" s="83">
        <f>IF(J93&lt;D11,0,VLOOKUP(J93,C17:O73,9))</f>
        <v>0</v>
      </c>
      <c r="N88" s="83">
        <f>IF(J93&lt;D11,0,VLOOKUP(J93,C17:O73,11))</f>
        <v>0</v>
      </c>
      <c r="O88" s="84">
        <f>+N88-M88</f>
        <v>0</v>
      </c>
      <c r="P88" s="1"/>
    </row>
    <row r="89" spans="1:16" ht="15.5">
      <c r="C89" s="8"/>
      <c r="D89" s="2"/>
      <c r="E89" s="1"/>
      <c r="F89" s="1"/>
      <c r="G89" s="1"/>
      <c r="H89" s="1"/>
      <c r="I89" s="26"/>
      <c r="J89" s="26"/>
      <c r="K89" s="124"/>
      <c r="L89" s="125" t="s">
        <v>254</v>
      </c>
      <c r="M89" s="85">
        <f>IF(J93&lt;D11,0,VLOOKUP(J93,C100:P155,6))</f>
        <v>0</v>
      </c>
      <c r="N89" s="85">
        <f>IF(J93&lt;D11,0,VLOOKUP(J93,C100:P155,7))</f>
        <v>0</v>
      </c>
      <c r="O89" s="86">
        <f>+N89-M89</f>
        <v>0</v>
      </c>
      <c r="P89" s="1"/>
    </row>
    <row r="90" spans="1:16" ht="13.5" thickBot="1">
      <c r="C90" s="31" t="s">
        <v>82</v>
      </c>
      <c r="D90" s="113" t="str">
        <f>+D7</f>
        <v>insert project name here</v>
      </c>
      <c r="E90" s="1"/>
      <c r="F90" s="1"/>
      <c r="G90" s="1"/>
      <c r="H90" s="1"/>
      <c r="I90" s="3"/>
      <c r="J90" s="3"/>
      <c r="K90" s="126"/>
      <c r="L90" s="127" t="s">
        <v>135</v>
      </c>
      <c r="M90" s="88">
        <f>+M89-M88</f>
        <v>0</v>
      </c>
      <c r="N90" s="88">
        <f>+N89-N88</f>
        <v>0</v>
      </c>
      <c r="O90" s="89">
        <f>+O89-O88</f>
        <v>0</v>
      </c>
      <c r="P90" s="1"/>
    </row>
    <row r="91" spans="1:16" ht="13.5" thickBot="1">
      <c r="C91" s="79"/>
      <c r="D91" s="81" t="str">
        <f>IF(D8="","",D8)</f>
        <v>DOES NOT MEET SPP $100,000 MINIMUM INVESTMENT FOR REGIONAL BPU SHARING.</v>
      </c>
      <c r="E91" s="17"/>
      <c r="F91" s="17"/>
      <c r="G91" s="17"/>
      <c r="H91" s="36"/>
      <c r="I91" s="3"/>
      <c r="J91" s="3"/>
      <c r="K91" s="19"/>
      <c r="L91" s="3"/>
      <c r="M91" s="3"/>
      <c r="N91" s="3"/>
      <c r="O91" s="19"/>
      <c r="P91" s="1"/>
    </row>
    <row r="92" spans="1:16" ht="13.5" thickBot="1">
      <c r="A92" s="16"/>
      <c r="C92" s="90" t="s">
        <v>83</v>
      </c>
      <c r="D92" s="105" t="str">
        <f>+D9</f>
        <v>TP2004033</v>
      </c>
      <c r="E92" s="91"/>
      <c r="F92" s="91"/>
      <c r="G92" s="91"/>
      <c r="H92" s="91"/>
      <c r="I92" s="91"/>
      <c r="J92" s="91"/>
      <c r="K92" s="92"/>
      <c r="P92" s="41"/>
    </row>
    <row r="93" spans="1:16" ht="13">
      <c r="C93" s="46" t="s">
        <v>49</v>
      </c>
      <c r="D93" s="102">
        <v>0</v>
      </c>
      <c r="E93" s="9" t="s">
        <v>84</v>
      </c>
      <c r="H93" s="44"/>
      <c r="I93" s="44"/>
      <c r="J93" s="45">
        <f>+'OKT.WS.G.BPU.ATRR.True-up'!M16</f>
        <v>2023</v>
      </c>
      <c r="K93" s="40"/>
      <c r="L93" s="19" t="s">
        <v>85</v>
      </c>
      <c r="P93" s="4"/>
    </row>
    <row r="94" spans="1:16" ht="12.5">
      <c r="C94" s="46" t="s">
        <v>52</v>
      </c>
      <c r="D94" s="102">
        <f>IF(D11="","",D11)</f>
        <v>2018</v>
      </c>
      <c r="E94" s="46" t="s">
        <v>53</v>
      </c>
      <c r="F94" s="44"/>
      <c r="G94" s="44"/>
      <c r="J94" s="48">
        <f>IF(H88="",0,'OKT.WS.G.BPU.ATRR.True-up'!$F$13)</f>
        <v>0</v>
      </c>
      <c r="K94" s="49"/>
      <c r="L94" t="str">
        <f>"          INPUT TRUE-UP ARR (WITH &amp; WITHOUT INCENTIVES) FROM EACH PRIOR YEAR"</f>
        <v xml:space="preserve">          INPUT TRUE-UP ARR (WITH &amp; WITHOUT INCENTIVES) FROM EACH PRIOR YEAR</v>
      </c>
      <c r="P94" s="4"/>
    </row>
    <row r="95" spans="1:16" ht="12.5">
      <c r="C95" s="46" t="s">
        <v>54</v>
      </c>
      <c r="D95" s="102">
        <f>IF(D12="","",D12)</f>
        <v>4</v>
      </c>
      <c r="E95" s="46" t="s">
        <v>55</v>
      </c>
      <c r="F95" s="44"/>
      <c r="G95" s="44"/>
      <c r="J95" s="50">
        <f>'OKT.WS.G.BPU.ATRR.True-up'!$F$81</f>
        <v>0.10963416019310859</v>
      </c>
      <c r="K95" s="51"/>
      <c r="L95" t="s">
        <v>86</v>
      </c>
      <c r="P95" s="4"/>
    </row>
    <row r="96" spans="1:16" ht="12.5">
      <c r="C96" s="46" t="s">
        <v>57</v>
      </c>
      <c r="D96" s="48">
        <f>'OKT.WS.G.BPU.ATRR.True-up'!F$93</f>
        <v>19</v>
      </c>
      <c r="E96" s="46" t="s">
        <v>58</v>
      </c>
      <c r="F96" s="44"/>
      <c r="G96" s="44"/>
      <c r="J96" s="50">
        <f>IF(H88="",J95,'OKT.WS.G.BPU.ATRR.True-up'!$F$80)</f>
        <v>0.10963416019310859</v>
      </c>
      <c r="K96" s="10"/>
      <c r="L96" s="19" t="s">
        <v>59</v>
      </c>
      <c r="M96" s="10"/>
      <c r="N96" s="10"/>
      <c r="O96" s="10"/>
      <c r="P96" s="4"/>
    </row>
    <row r="97" spans="1:16" ht="13" thickBot="1">
      <c r="C97" s="46" t="s">
        <v>60</v>
      </c>
      <c r="D97" s="103" t="str">
        <f>+D14</f>
        <v>No</v>
      </c>
      <c r="E97" s="87" t="s">
        <v>62</v>
      </c>
      <c r="F97" s="93"/>
      <c r="G97" s="93"/>
      <c r="H97" s="94"/>
      <c r="I97" s="94"/>
      <c r="J97" s="34">
        <f>IF(D93=0,0,D93/D96)</f>
        <v>0</v>
      </c>
      <c r="K97" s="19"/>
      <c r="L97" s="19"/>
      <c r="M97" s="19"/>
      <c r="N97" s="19"/>
      <c r="O97" s="19"/>
      <c r="P97" s="4"/>
    </row>
    <row r="98" spans="1:16" ht="39">
      <c r="A98" s="6"/>
      <c r="B98" s="6"/>
      <c r="C98" s="95" t="s">
        <v>49</v>
      </c>
      <c r="D98" s="141" t="s">
        <v>193</v>
      </c>
      <c r="E98" s="56" t="s">
        <v>63</v>
      </c>
      <c r="F98" s="56" t="s">
        <v>64</v>
      </c>
      <c r="G98" s="54" t="s">
        <v>87</v>
      </c>
      <c r="H98" s="143" t="s">
        <v>251</v>
      </c>
      <c r="I98" s="144" t="s">
        <v>252</v>
      </c>
      <c r="J98" s="95" t="s">
        <v>88</v>
      </c>
      <c r="K98" s="96"/>
      <c r="L98" s="56" t="s">
        <v>91</v>
      </c>
      <c r="M98" s="56" t="s">
        <v>89</v>
      </c>
      <c r="N98" s="56" t="s">
        <v>91</v>
      </c>
      <c r="O98" s="56" t="s">
        <v>89</v>
      </c>
      <c r="P98" s="56" t="s">
        <v>67</v>
      </c>
    </row>
    <row r="99" spans="1:16" ht="13.5" thickBot="1">
      <c r="C99" s="57" t="s">
        <v>68</v>
      </c>
      <c r="D99" s="97" t="s">
        <v>69</v>
      </c>
      <c r="E99" s="57" t="s">
        <v>70</v>
      </c>
      <c r="F99" s="57" t="s">
        <v>69</v>
      </c>
      <c r="G99" s="57" t="s">
        <v>69</v>
      </c>
      <c r="H99" s="135" t="s">
        <v>71</v>
      </c>
      <c r="I99" s="58" t="s">
        <v>72</v>
      </c>
      <c r="J99" s="59" t="s">
        <v>93</v>
      </c>
      <c r="K99" s="60"/>
      <c r="L99" s="61" t="s">
        <v>74</v>
      </c>
      <c r="M99" s="61" t="s">
        <v>74</v>
      </c>
      <c r="N99" s="61" t="s">
        <v>94</v>
      </c>
      <c r="O99" s="61" t="s">
        <v>94</v>
      </c>
      <c r="P99" s="61" t="s">
        <v>94</v>
      </c>
    </row>
    <row r="100" spans="1:16" ht="12.5">
      <c r="B100" t="str">
        <f t="shared" ref="B100:B155" si="15">IF(D100=F99,"","IU")</f>
        <v>IU</v>
      </c>
      <c r="C100" s="62">
        <f>IF(D94= "","-",D94)</f>
        <v>2018</v>
      </c>
      <c r="D100" s="63">
        <f>IF(D94=C100,0,IF(D93&lt;100000,0,D93))</f>
        <v>0</v>
      </c>
      <c r="E100" s="70">
        <f>IF(D93&lt;100000,0,J$97/12*(12-D95))</f>
        <v>0</v>
      </c>
      <c r="F100" s="68">
        <f>IF(D94=C100,+D93-E100,+D100-E100)</f>
        <v>0</v>
      </c>
      <c r="G100" s="98">
        <f>+(F100+D100)/2</f>
        <v>0</v>
      </c>
      <c r="H100" s="98">
        <f t="shared" ref="H100:H155" si="16">+J$95*G100+E100</f>
        <v>0</v>
      </c>
      <c r="I100" s="98">
        <f>+J$96*G100+E100</f>
        <v>0</v>
      </c>
      <c r="J100" s="67">
        <f t="shared" ref="J100:J131" si="17">+I100-H100</f>
        <v>0</v>
      </c>
      <c r="K100" s="67"/>
      <c r="L100" s="129"/>
      <c r="M100" s="66">
        <f t="shared" ref="M100:M131" si="18">IF(L100&lt;&gt;0,+H100-L100,0)</f>
        <v>0</v>
      </c>
      <c r="N100" s="129"/>
      <c r="O100" s="66">
        <f t="shared" ref="O100:O131" si="19">IF(N100&lt;&gt;0,+I100-N100,0)</f>
        <v>0</v>
      </c>
      <c r="P100" s="66">
        <f t="shared" ref="P100:P131" si="20">+O100-M100</f>
        <v>0</v>
      </c>
    </row>
    <row r="101" spans="1:16" ht="12.5">
      <c r="B101" t="str">
        <f t="shared" si="15"/>
        <v/>
      </c>
      <c r="C101" s="62">
        <f>IF(D94="","-",+C100+1)</f>
        <v>2019</v>
      </c>
      <c r="D101" s="63">
        <f>IF(F100+SUM(E$100:E100)=D$93,F100,D$93-SUM(E$100:E100))</f>
        <v>0</v>
      </c>
      <c r="E101" s="69">
        <f t="shared" ref="E101:E132" si="21">IF(+J$97&lt;F100,J$97,D101)</f>
        <v>0</v>
      </c>
      <c r="F101" s="68">
        <f t="shared" ref="F101:F131" si="22">+D101-E101</f>
        <v>0</v>
      </c>
      <c r="G101" s="68">
        <f t="shared" ref="G101:G131" si="23">+(F101+D101)/2</f>
        <v>0</v>
      </c>
      <c r="H101" s="128">
        <f t="shared" si="16"/>
        <v>0</v>
      </c>
      <c r="I101" s="137">
        <f t="shared" ref="I101:I155" si="24">+J$96*G101+E101</f>
        <v>0</v>
      </c>
      <c r="J101" s="67">
        <f t="shared" si="17"/>
        <v>0</v>
      </c>
      <c r="K101" s="67"/>
      <c r="L101" s="130"/>
      <c r="M101" s="67">
        <f t="shared" si="18"/>
        <v>0</v>
      </c>
      <c r="N101" s="130"/>
      <c r="O101" s="67">
        <f t="shared" si="19"/>
        <v>0</v>
      </c>
      <c r="P101" s="67">
        <f t="shared" si="20"/>
        <v>0</v>
      </c>
    </row>
    <row r="102" spans="1:16" ht="12.5">
      <c r="B102" t="str">
        <f t="shared" si="15"/>
        <v/>
      </c>
      <c r="C102" s="62">
        <f>IF(D94="","-",+C101+1)</f>
        <v>2020</v>
      </c>
      <c r="D102" s="63">
        <f>IF(F101+SUM(E$100:E101)=D$93,F101,D$93-SUM(E$100:E101))</f>
        <v>0</v>
      </c>
      <c r="E102" s="69">
        <f t="shared" si="21"/>
        <v>0</v>
      </c>
      <c r="F102" s="68">
        <f t="shared" si="22"/>
        <v>0</v>
      </c>
      <c r="G102" s="68">
        <f t="shared" si="23"/>
        <v>0</v>
      </c>
      <c r="H102" s="128">
        <f t="shared" si="16"/>
        <v>0</v>
      </c>
      <c r="I102" s="137">
        <f t="shared" si="24"/>
        <v>0</v>
      </c>
      <c r="J102" s="67">
        <f t="shared" si="17"/>
        <v>0</v>
      </c>
      <c r="K102" s="67"/>
      <c r="L102" s="130"/>
      <c r="M102" s="67">
        <f t="shared" si="18"/>
        <v>0</v>
      </c>
      <c r="N102" s="130"/>
      <c r="O102" s="67">
        <f t="shared" si="19"/>
        <v>0</v>
      </c>
      <c r="P102" s="67">
        <f t="shared" si="20"/>
        <v>0</v>
      </c>
    </row>
    <row r="103" spans="1:16" ht="12.5">
      <c r="B103" t="str">
        <f t="shared" si="15"/>
        <v/>
      </c>
      <c r="C103" s="62">
        <f>IF(D94="","-",+C102+1)</f>
        <v>2021</v>
      </c>
      <c r="D103" s="63">
        <f>IF(F102+SUM(E$100:E102)=D$93,F102,D$93-SUM(E$100:E102))</f>
        <v>0</v>
      </c>
      <c r="E103" s="69">
        <f t="shared" si="21"/>
        <v>0</v>
      </c>
      <c r="F103" s="68">
        <f t="shared" si="22"/>
        <v>0</v>
      </c>
      <c r="G103" s="68">
        <f t="shared" si="23"/>
        <v>0</v>
      </c>
      <c r="H103" s="128">
        <f t="shared" si="16"/>
        <v>0</v>
      </c>
      <c r="I103" s="137">
        <f t="shared" si="24"/>
        <v>0</v>
      </c>
      <c r="J103" s="67">
        <f t="shared" si="17"/>
        <v>0</v>
      </c>
      <c r="K103" s="67"/>
      <c r="L103" s="130"/>
      <c r="M103" s="67">
        <f t="shared" si="18"/>
        <v>0</v>
      </c>
      <c r="N103" s="130"/>
      <c r="O103" s="67">
        <f t="shared" si="19"/>
        <v>0</v>
      </c>
      <c r="P103" s="67">
        <f t="shared" si="20"/>
        <v>0</v>
      </c>
    </row>
    <row r="104" spans="1:16" ht="12.5">
      <c r="B104" t="str">
        <f t="shared" si="15"/>
        <v/>
      </c>
      <c r="C104" s="62">
        <f>IF(D94="","-",+C103+1)</f>
        <v>2022</v>
      </c>
      <c r="D104" s="63">
        <f>IF(F103+SUM(E$100:E103)=D$93,F103,D$93-SUM(E$100:E103))</f>
        <v>0</v>
      </c>
      <c r="E104" s="69">
        <f t="shared" si="21"/>
        <v>0</v>
      </c>
      <c r="F104" s="68">
        <f t="shared" si="22"/>
        <v>0</v>
      </c>
      <c r="G104" s="68">
        <f t="shared" si="23"/>
        <v>0</v>
      </c>
      <c r="H104" s="128">
        <f t="shared" si="16"/>
        <v>0</v>
      </c>
      <c r="I104" s="137">
        <f t="shared" si="24"/>
        <v>0</v>
      </c>
      <c r="J104" s="67">
        <f t="shared" si="17"/>
        <v>0</v>
      </c>
      <c r="K104" s="67"/>
      <c r="L104" s="130"/>
      <c r="M104" s="67">
        <f t="shared" si="18"/>
        <v>0</v>
      </c>
      <c r="N104" s="130"/>
      <c r="O104" s="67">
        <f t="shared" si="19"/>
        <v>0</v>
      </c>
      <c r="P104" s="67">
        <f t="shared" si="20"/>
        <v>0</v>
      </c>
    </row>
    <row r="105" spans="1:16" ht="12.5">
      <c r="B105" t="str">
        <f t="shared" si="15"/>
        <v/>
      </c>
      <c r="C105" s="62">
        <f>IF(D94="","-",+C104+1)</f>
        <v>2023</v>
      </c>
      <c r="D105" s="63">
        <f>IF(F104+SUM(E$100:E104)=D$93,F104,D$93-SUM(E$100:E104))</f>
        <v>0</v>
      </c>
      <c r="E105" s="69">
        <f t="shared" si="21"/>
        <v>0</v>
      </c>
      <c r="F105" s="68">
        <f t="shared" si="22"/>
        <v>0</v>
      </c>
      <c r="G105" s="68">
        <f t="shared" si="23"/>
        <v>0</v>
      </c>
      <c r="H105" s="128">
        <f t="shared" si="16"/>
        <v>0</v>
      </c>
      <c r="I105" s="137">
        <f t="shared" si="24"/>
        <v>0</v>
      </c>
      <c r="J105" s="67">
        <f t="shared" si="17"/>
        <v>0</v>
      </c>
      <c r="K105" s="67"/>
      <c r="L105" s="130"/>
      <c r="M105" s="67">
        <f t="shared" si="18"/>
        <v>0</v>
      </c>
      <c r="N105" s="130"/>
      <c r="O105" s="67">
        <f t="shared" si="19"/>
        <v>0</v>
      </c>
      <c r="P105" s="67">
        <f t="shared" si="20"/>
        <v>0</v>
      </c>
    </row>
    <row r="106" spans="1:16" ht="12.5">
      <c r="B106" t="str">
        <f t="shared" si="15"/>
        <v/>
      </c>
      <c r="C106" s="62">
        <f>IF(D94="","-",+C105+1)</f>
        <v>2024</v>
      </c>
      <c r="D106" s="63">
        <f>IF(F105+SUM(E$100:E105)=D$93,F105,D$93-SUM(E$100:E105))</f>
        <v>0</v>
      </c>
      <c r="E106" s="69">
        <f t="shared" si="21"/>
        <v>0</v>
      </c>
      <c r="F106" s="68">
        <f t="shared" si="22"/>
        <v>0</v>
      </c>
      <c r="G106" s="68">
        <f t="shared" si="23"/>
        <v>0</v>
      </c>
      <c r="H106" s="128">
        <f t="shared" si="16"/>
        <v>0</v>
      </c>
      <c r="I106" s="137">
        <f t="shared" si="24"/>
        <v>0</v>
      </c>
      <c r="J106" s="67">
        <f t="shared" si="17"/>
        <v>0</v>
      </c>
      <c r="K106" s="67"/>
      <c r="L106" s="130"/>
      <c r="M106" s="67">
        <f t="shared" si="18"/>
        <v>0</v>
      </c>
      <c r="N106" s="130"/>
      <c r="O106" s="67">
        <f t="shared" si="19"/>
        <v>0</v>
      </c>
      <c r="P106" s="67">
        <f t="shared" si="20"/>
        <v>0</v>
      </c>
    </row>
    <row r="107" spans="1:16" ht="12.5">
      <c r="B107" t="str">
        <f t="shared" si="15"/>
        <v/>
      </c>
      <c r="C107" s="62">
        <f>IF(D94="","-",+C106+1)</f>
        <v>2025</v>
      </c>
      <c r="D107" s="63">
        <f>IF(F106+SUM(E$100:E106)=D$93,F106,D$93-SUM(E$100:E106))</f>
        <v>0</v>
      </c>
      <c r="E107" s="69">
        <f t="shared" si="21"/>
        <v>0</v>
      </c>
      <c r="F107" s="68">
        <f t="shared" si="22"/>
        <v>0</v>
      </c>
      <c r="G107" s="68">
        <f t="shared" si="23"/>
        <v>0</v>
      </c>
      <c r="H107" s="128">
        <f t="shared" si="16"/>
        <v>0</v>
      </c>
      <c r="I107" s="137">
        <f t="shared" si="24"/>
        <v>0</v>
      </c>
      <c r="J107" s="67">
        <f t="shared" si="17"/>
        <v>0</v>
      </c>
      <c r="K107" s="67"/>
      <c r="L107" s="130"/>
      <c r="M107" s="67">
        <f t="shared" si="18"/>
        <v>0</v>
      </c>
      <c r="N107" s="130"/>
      <c r="O107" s="67">
        <f t="shared" si="19"/>
        <v>0</v>
      </c>
      <c r="P107" s="67">
        <f t="shared" si="20"/>
        <v>0</v>
      </c>
    </row>
    <row r="108" spans="1:16" ht="12.5">
      <c r="B108" t="str">
        <f t="shared" si="15"/>
        <v/>
      </c>
      <c r="C108" s="62">
        <f>IF(D94="","-",+C107+1)</f>
        <v>2026</v>
      </c>
      <c r="D108" s="63">
        <f>IF(F107+SUM(E$100:E107)=D$93,F107,D$93-SUM(E$100:E107))</f>
        <v>0</v>
      </c>
      <c r="E108" s="69">
        <f t="shared" si="21"/>
        <v>0</v>
      </c>
      <c r="F108" s="68">
        <f t="shared" si="22"/>
        <v>0</v>
      </c>
      <c r="G108" s="68">
        <f t="shared" si="23"/>
        <v>0</v>
      </c>
      <c r="H108" s="128">
        <f t="shared" si="16"/>
        <v>0</v>
      </c>
      <c r="I108" s="137">
        <f t="shared" si="24"/>
        <v>0</v>
      </c>
      <c r="J108" s="67">
        <f t="shared" si="17"/>
        <v>0</v>
      </c>
      <c r="K108" s="67"/>
      <c r="L108" s="130"/>
      <c r="M108" s="67">
        <f t="shared" si="18"/>
        <v>0</v>
      </c>
      <c r="N108" s="130"/>
      <c r="O108" s="67">
        <f t="shared" si="19"/>
        <v>0</v>
      </c>
      <c r="P108" s="67">
        <f t="shared" si="20"/>
        <v>0</v>
      </c>
    </row>
    <row r="109" spans="1:16" ht="12.5">
      <c r="B109" t="str">
        <f t="shared" si="15"/>
        <v/>
      </c>
      <c r="C109" s="62">
        <f>IF(D94="","-",+C108+1)</f>
        <v>2027</v>
      </c>
      <c r="D109" s="63">
        <f>IF(F108+SUM(E$100:E108)=D$93,F108,D$93-SUM(E$100:E108))</f>
        <v>0</v>
      </c>
      <c r="E109" s="69">
        <f t="shared" si="21"/>
        <v>0</v>
      </c>
      <c r="F109" s="68">
        <f t="shared" si="22"/>
        <v>0</v>
      </c>
      <c r="G109" s="68">
        <f t="shared" si="23"/>
        <v>0</v>
      </c>
      <c r="H109" s="128">
        <f t="shared" si="16"/>
        <v>0</v>
      </c>
      <c r="I109" s="137">
        <f t="shared" si="24"/>
        <v>0</v>
      </c>
      <c r="J109" s="67">
        <f t="shared" si="17"/>
        <v>0</v>
      </c>
      <c r="K109" s="67"/>
      <c r="L109" s="130"/>
      <c r="M109" s="67">
        <f t="shared" si="18"/>
        <v>0</v>
      </c>
      <c r="N109" s="130"/>
      <c r="O109" s="67">
        <f t="shared" si="19"/>
        <v>0</v>
      </c>
      <c r="P109" s="67">
        <f t="shared" si="20"/>
        <v>0</v>
      </c>
    </row>
    <row r="110" spans="1:16" ht="12.5">
      <c r="B110" t="str">
        <f t="shared" si="15"/>
        <v/>
      </c>
      <c r="C110" s="62">
        <f>IF(D94="","-",+C109+1)</f>
        <v>2028</v>
      </c>
      <c r="D110" s="63">
        <f>IF(F109+SUM(E$100:E109)=D$93,F109,D$93-SUM(E$100:E109))</f>
        <v>0</v>
      </c>
      <c r="E110" s="69">
        <f t="shared" si="21"/>
        <v>0</v>
      </c>
      <c r="F110" s="68">
        <f t="shared" si="22"/>
        <v>0</v>
      </c>
      <c r="G110" s="68">
        <f t="shared" si="23"/>
        <v>0</v>
      </c>
      <c r="H110" s="128">
        <f t="shared" si="16"/>
        <v>0</v>
      </c>
      <c r="I110" s="137">
        <f t="shared" si="24"/>
        <v>0</v>
      </c>
      <c r="J110" s="67">
        <f t="shared" si="17"/>
        <v>0</v>
      </c>
      <c r="K110" s="67"/>
      <c r="L110" s="130"/>
      <c r="M110" s="67">
        <f t="shared" si="18"/>
        <v>0</v>
      </c>
      <c r="N110" s="130"/>
      <c r="O110" s="67">
        <f t="shared" si="19"/>
        <v>0</v>
      </c>
      <c r="P110" s="67">
        <f t="shared" si="20"/>
        <v>0</v>
      </c>
    </row>
    <row r="111" spans="1:16" ht="12.5">
      <c r="B111" t="str">
        <f t="shared" si="15"/>
        <v/>
      </c>
      <c r="C111" s="62">
        <f>IF(D94="","-",+C110+1)</f>
        <v>2029</v>
      </c>
      <c r="D111" s="63">
        <f>IF(F110+SUM(E$100:E110)=D$93,F110,D$93-SUM(E$100:E110))</f>
        <v>0</v>
      </c>
      <c r="E111" s="69">
        <f t="shared" si="21"/>
        <v>0</v>
      </c>
      <c r="F111" s="68">
        <f t="shared" si="22"/>
        <v>0</v>
      </c>
      <c r="G111" s="68">
        <f t="shared" si="23"/>
        <v>0</v>
      </c>
      <c r="H111" s="128">
        <f t="shared" si="16"/>
        <v>0</v>
      </c>
      <c r="I111" s="137">
        <f t="shared" si="24"/>
        <v>0</v>
      </c>
      <c r="J111" s="67">
        <f t="shared" si="17"/>
        <v>0</v>
      </c>
      <c r="K111" s="67"/>
      <c r="L111" s="130"/>
      <c r="M111" s="67">
        <f t="shared" si="18"/>
        <v>0</v>
      </c>
      <c r="N111" s="130"/>
      <c r="O111" s="67">
        <f t="shared" si="19"/>
        <v>0</v>
      </c>
      <c r="P111" s="67">
        <f t="shared" si="20"/>
        <v>0</v>
      </c>
    </row>
    <row r="112" spans="1:16" ht="12.5">
      <c r="B112" t="str">
        <f t="shared" si="15"/>
        <v/>
      </c>
      <c r="C112" s="62">
        <f>IF(D94="","-",+C111+1)</f>
        <v>2030</v>
      </c>
      <c r="D112" s="63">
        <f>IF(F111+SUM(E$100:E111)=D$93,F111,D$93-SUM(E$100:E111))</f>
        <v>0</v>
      </c>
      <c r="E112" s="69">
        <f t="shared" si="21"/>
        <v>0</v>
      </c>
      <c r="F112" s="68">
        <f t="shared" si="22"/>
        <v>0</v>
      </c>
      <c r="G112" s="68">
        <f t="shared" si="23"/>
        <v>0</v>
      </c>
      <c r="H112" s="128">
        <f t="shared" si="16"/>
        <v>0</v>
      </c>
      <c r="I112" s="137">
        <f t="shared" si="24"/>
        <v>0</v>
      </c>
      <c r="J112" s="67">
        <f t="shared" si="17"/>
        <v>0</v>
      </c>
      <c r="K112" s="67"/>
      <c r="L112" s="130"/>
      <c r="M112" s="67">
        <f t="shared" si="18"/>
        <v>0</v>
      </c>
      <c r="N112" s="130"/>
      <c r="O112" s="67">
        <f t="shared" si="19"/>
        <v>0</v>
      </c>
      <c r="P112" s="67">
        <f t="shared" si="20"/>
        <v>0</v>
      </c>
    </row>
    <row r="113" spans="2:16" ht="12.5">
      <c r="B113" t="str">
        <f t="shared" si="15"/>
        <v/>
      </c>
      <c r="C113" s="62">
        <f>IF(D94="","-",+C112+1)</f>
        <v>2031</v>
      </c>
      <c r="D113" s="63">
        <f>IF(F112+SUM(E$100:E112)=D$93,F112,D$93-SUM(E$100:E112))</f>
        <v>0</v>
      </c>
      <c r="E113" s="69">
        <f t="shared" si="21"/>
        <v>0</v>
      </c>
      <c r="F113" s="68">
        <f t="shared" si="22"/>
        <v>0</v>
      </c>
      <c r="G113" s="68">
        <f t="shared" si="23"/>
        <v>0</v>
      </c>
      <c r="H113" s="128">
        <f t="shared" si="16"/>
        <v>0</v>
      </c>
      <c r="I113" s="137">
        <f t="shared" si="24"/>
        <v>0</v>
      </c>
      <c r="J113" s="67">
        <f t="shared" si="17"/>
        <v>0</v>
      </c>
      <c r="K113" s="67"/>
      <c r="L113" s="130"/>
      <c r="M113" s="67">
        <f t="shared" si="18"/>
        <v>0</v>
      </c>
      <c r="N113" s="130"/>
      <c r="O113" s="67">
        <f t="shared" si="19"/>
        <v>0</v>
      </c>
      <c r="P113" s="67">
        <f t="shared" si="20"/>
        <v>0</v>
      </c>
    </row>
    <row r="114" spans="2:16" ht="12.5">
      <c r="B114" t="str">
        <f t="shared" si="15"/>
        <v/>
      </c>
      <c r="C114" s="62">
        <f>IF(D94="","-",+C113+1)</f>
        <v>2032</v>
      </c>
      <c r="D114" s="63">
        <f>IF(F113+SUM(E$100:E113)=D$93,F113,D$93-SUM(E$100:E113))</f>
        <v>0</v>
      </c>
      <c r="E114" s="69">
        <f t="shared" si="21"/>
        <v>0</v>
      </c>
      <c r="F114" s="68">
        <f t="shared" si="22"/>
        <v>0</v>
      </c>
      <c r="G114" s="68">
        <f t="shared" si="23"/>
        <v>0</v>
      </c>
      <c r="H114" s="128">
        <f t="shared" si="16"/>
        <v>0</v>
      </c>
      <c r="I114" s="137">
        <f t="shared" si="24"/>
        <v>0</v>
      </c>
      <c r="J114" s="67">
        <f t="shared" si="17"/>
        <v>0</v>
      </c>
      <c r="K114" s="67"/>
      <c r="L114" s="130"/>
      <c r="M114" s="67">
        <f t="shared" si="18"/>
        <v>0</v>
      </c>
      <c r="N114" s="130"/>
      <c r="O114" s="67">
        <f t="shared" si="19"/>
        <v>0</v>
      </c>
      <c r="P114" s="67">
        <f t="shared" si="20"/>
        <v>0</v>
      </c>
    </row>
    <row r="115" spans="2:16" ht="12.5">
      <c r="B115" t="str">
        <f t="shared" si="15"/>
        <v/>
      </c>
      <c r="C115" s="62">
        <f>IF(D94="","-",+C114+1)</f>
        <v>2033</v>
      </c>
      <c r="D115" s="63">
        <f>IF(F114+SUM(E$100:E114)=D$93,F114,D$93-SUM(E$100:E114))</f>
        <v>0</v>
      </c>
      <c r="E115" s="69">
        <f t="shared" si="21"/>
        <v>0</v>
      </c>
      <c r="F115" s="68">
        <f t="shared" si="22"/>
        <v>0</v>
      </c>
      <c r="G115" s="68">
        <f t="shared" si="23"/>
        <v>0</v>
      </c>
      <c r="H115" s="128">
        <f t="shared" si="16"/>
        <v>0</v>
      </c>
      <c r="I115" s="137">
        <f t="shared" si="24"/>
        <v>0</v>
      </c>
      <c r="J115" s="67">
        <f t="shared" si="17"/>
        <v>0</v>
      </c>
      <c r="K115" s="67"/>
      <c r="L115" s="130"/>
      <c r="M115" s="67">
        <f t="shared" si="18"/>
        <v>0</v>
      </c>
      <c r="N115" s="130"/>
      <c r="O115" s="67">
        <f t="shared" si="19"/>
        <v>0</v>
      </c>
      <c r="P115" s="67">
        <f t="shared" si="20"/>
        <v>0</v>
      </c>
    </row>
    <row r="116" spans="2:16" ht="12.5">
      <c r="B116" t="str">
        <f t="shared" si="15"/>
        <v/>
      </c>
      <c r="C116" s="62">
        <f>IF(D94="","-",+C115+1)</f>
        <v>2034</v>
      </c>
      <c r="D116" s="63">
        <f>IF(F115+SUM(E$100:E115)=D$93,F115,D$93-SUM(E$100:E115))</f>
        <v>0</v>
      </c>
      <c r="E116" s="69">
        <f t="shared" si="21"/>
        <v>0</v>
      </c>
      <c r="F116" s="68">
        <f t="shared" si="22"/>
        <v>0</v>
      </c>
      <c r="G116" s="68">
        <f t="shared" si="23"/>
        <v>0</v>
      </c>
      <c r="H116" s="128">
        <f t="shared" si="16"/>
        <v>0</v>
      </c>
      <c r="I116" s="137">
        <f t="shared" si="24"/>
        <v>0</v>
      </c>
      <c r="J116" s="67">
        <f t="shared" si="17"/>
        <v>0</v>
      </c>
      <c r="K116" s="67"/>
      <c r="L116" s="130"/>
      <c r="M116" s="67">
        <f t="shared" si="18"/>
        <v>0</v>
      </c>
      <c r="N116" s="130"/>
      <c r="O116" s="67">
        <f t="shared" si="19"/>
        <v>0</v>
      </c>
      <c r="P116" s="67">
        <f t="shared" si="20"/>
        <v>0</v>
      </c>
    </row>
    <row r="117" spans="2:16" ht="12.5">
      <c r="B117" t="str">
        <f t="shared" si="15"/>
        <v/>
      </c>
      <c r="C117" s="62">
        <f>IF(D94="","-",+C116+1)</f>
        <v>2035</v>
      </c>
      <c r="D117" s="63">
        <f>IF(F116+SUM(E$100:E116)=D$93,F116,D$93-SUM(E$100:E116))</f>
        <v>0</v>
      </c>
      <c r="E117" s="69">
        <f t="shared" si="21"/>
        <v>0</v>
      </c>
      <c r="F117" s="68">
        <f t="shared" si="22"/>
        <v>0</v>
      </c>
      <c r="G117" s="68">
        <f t="shared" si="23"/>
        <v>0</v>
      </c>
      <c r="H117" s="128">
        <f t="shared" si="16"/>
        <v>0</v>
      </c>
      <c r="I117" s="137">
        <f t="shared" si="24"/>
        <v>0</v>
      </c>
      <c r="J117" s="67">
        <f t="shared" si="17"/>
        <v>0</v>
      </c>
      <c r="K117" s="67"/>
      <c r="L117" s="130"/>
      <c r="M117" s="67">
        <f t="shared" si="18"/>
        <v>0</v>
      </c>
      <c r="N117" s="130"/>
      <c r="O117" s="67">
        <f t="shared" si="19"/>
        <v>0</v>
      </c>
      <c r="P117" s="67">
        <f t="shared" si="20"/>
        <v>0</v>
      </c>
    </row>
    <row r="118" spans="2:16" ht="12.5">
      <c r="B118" t="str">
        <f t="shared" si="15"/>
        <v/>
      </c>
      <c r="C118" s="62">
        <f>IF(D94="","-",+C117+1)</f>
        <v>2036</v>
      </c>
      <c r="D118" s="63">
        <f>IF(F117+SUM(E$100:E117)=D$93,F117,D$93-SUM(E$100:E117))</f>
        <v>0</v>
      </c>
      <c r="E118" s="69">
        <f t="shared" si="21"/>
        <v>0</v>
      </c>
      <c r="F118" s="68">
        <f t="shared" si="22"/>
        <v>0</v>
      </c>
      <c r="G118" s="68">
        <f t="shared" si="23"/>
        <v>0</v>
      </c>
      <c r="H118" s="128">
        <f t="shared" si="16"/>
        <v>0</v>
      </c>
      <c r="I118" s="137">
        <f t="shared" si="24"/>
        <v>0</v>
      </c>
      <c r="J118" s="67">
        <f t="shared" si="17"/>
        <v>0</v>
      </c>
      <c r="K118" s="67"/>
      <c r="L118" s="130"/>
      <c r="M118" s="67">
        <f t="shared" si="18"/>
        <v>0</v>
      </c>
      <c r="N118" s="130"/>
      <c r="O118" s="67">
        <f t="shared" si="19"/>
        <v>0</v>
      </c>
      <c r="P118" s="67">
        <f t="shared" si="20"/>
        <v>0</v>
      </c>
    </row>
    <row r="119" spans="2:16" ht="12.5">
      <c r="B119" t="str">
        <f t="shared" si="15"/>
        <v/>
      </c>
      <c r="C119" s="62">
        <f>IF(D94="","-",+C118+1)</f>
        <v>2037</v>
      </c>
      <c r="D119" s="63">
        <f>IF(F118+SUM(E$100:E118)=D$93,F118,D$93-SUM(E$100:E118))</f>
        <v>0</v>
      </c>
      <c r="E119" s="69">
        <f t="shared" si="21"/>
        <v>0</v>
      </c>
      <c r="F119" s="68">
        <f t="shared" si="22"/>
        <v>0</v>
      </c>
      <c r="G119" s="68">
        <f t="shared" si="23"/>
        <v>0</v>
      </c>
      <c r="H119" s="128">
        <f t="shared" si="16"/>
        <v>0</v>
      </c>
      <c r="I119" s="137">
        <f t="shared" si="24"/>
        <v>0</v>
      </c>
      <c r="J119" s="67">
        <f t="shared" si="17"/>
        <v>0</v>
      </c>
      <c r="K119" s="67"/>
      <c r="L119" s="130"/>
      <c r="M119" s="67">
        <f t="shared" si="18"/>
        <v>0</v>
      </c>
      <c r="N119" s="130"/>
      <c r="O119" s="67">
        <f t="shared" si="19"/>
        <v>0</v>
      </c>
      <c r="P119" s="67">
        <f t="shared" si="20"/>
        <v>0</v>
      </c>
    </row>
    <row r="120" spans="2:16" ht="12.5">
      <c r="B120" t="str">
        <f t="shared" si="15"/>
        <v/>
      </c>
      <c r="C120" s="62">
        <f>IF(D94="","-",+C119+1)</f>
        <v>2038</v>
      </c>
      <c r="D120" s="63">
        <f>IF(F119+SUM(E$100:E119)=D$93,F119,D$93-SUM(E$100:E119))</f>
        <v>0</v>
      </c>
      <c r="E120" s="69">
        <f t="shared" si="21"/>
        <v>0</v>
      </c>
      <c r="F120" s="68">
        <f t="shared" si="22"/>
        <v>0</v>
      </c>
      <c r="G120" s="68">
        <f t="shared" si="23"/>
        <v>0</v>
      </c>
      <c r="H120" s="128">
        <f t="shared" si="16"/>
        <v>0</v>
      </c>
      <c r="I120" s="137">
        <f t="shared" si="24"/>
        <v>0</v>
      </c>
      <c r="J120" s="67">
        <f t="shared" si="17"/>
        <v>0</v>
      </c>
      <c r="K120" s="67"/>
      <c r="L120" s="130"/>
      <c r="M120" s="67">
        <f t="shared" si="18"/>
        <v>0</v>
      </c>
      <c r="N120" s="130"/>
      <c r="O120" s="67">
        <f t="shared" si="19"/>
        <v>0</v>
      </c>
      <c r="P120" s="67">
        <f t="shared" si="20"/>
        <v>0</v>
      </c>
    </row>
    <row r="121" spans="2:16" ht="12.5">
      <c r="B121" t="str">
        <f t="shared" si="15"/>
        <v/>
      </c>
      <c r="C121" s="62">
        <f>IF(D94="","-",+C120+1)</f>
        <v>2039</v>
      </c>
      <c r="D121" s="63">
        <f>IF(F120+SUM(E$100:E120)=D$93,F120,D$93-SUM(E$100:E120))</f>
        <v>0</v>
      </c>
      <c r="E121" s="69">
        <f t="shared" si="21"/>
        <v>0</v>
      </c>
      <c r="F121" s="68">
        <f t="shared" si="22"/>
        <v>0</v>
      </c>
      <c r="G121" s="68">
        <f t="shared" si="23"/>
        <v>0</v>
      </c>
      <c r="H121" s="128">
        <f t="shared" si="16"/>
        <v>0</v>
      </c>
      <c r="I121" s="137">
        <f t="shared" si="24"/>
        <v>0</v>
      </c>
      <c r="J121" s="67">
        <f t="shared" si="17"/>
        <v>0</v>
      </c>
      <c r="K121" s="67"/>
      <c r="L121" s="130"/>
      <c r="M121" s="67">
        <f t="shared" si="18"/>
        <v>0</v>
      </c>
      <c r="N121" s="130"/>
      <c r="O121" s="67">
        <f t="shared" si="19"/>
        <v>0</v>
      </c>
      <c r="P121" s="67">
        <f t="shared" si="20"/>
        <v>0</v>
      </c>
    </row>
    <row r="122" spans="2:16" ht="12.5">
      <c r="B122" t="str">
        <f t="shared" si="15"/>
        <v/>
      </c>
      <c r="C122" s="62">
        <f>IF(D94="","-",+C121+1)</f>
        <v>2040</v>
      </c>
      <c r="D122" s="63">
        <f>IF(F121+SUM(E$100:E121)=D$93,F121,D$93-SUM(E$100:E121))</f>
        <v>0</v>
      </c>
      <c r="E122" s="69">
        <f t="shared" si="21"/>
        <v>0</v>
      </c>
      <c r="F122" s="68">
        <f t="shared" si="22"/>
        <v>0</v>
      </c>
      <c r="G122" s="68">
        <f t="shared" si="23"/>
        <v>0</v>
      </c>
      <c r="H122" s="128">
        <f t="shared" si="16"/>
        <v>0</v>
      </c>
      <c r="I122" s="137">
        <f t="shared" si="24"/>
        <v>0</v>
      </c>
      <c r="J122" s="67">
        <f t="shared" si="17"/>
        <v>0</v>
      </c>
      <c r="K122" s="67"/>
      <c r="L122" s="130"/>
      <c r="M122" s="67">
        <f t="shared" si="18"/>
        <v>0</v>
      </c>
      <c r="N122" s="130"/>
      <c r="O122" s="67">
        <f t="shared" si="19"/>
        <v>0</v>
      </c>
      <c r="P122" s="67">
        <f t="shared" si="20"/>
        <v>0</v>
      </c>
    </row>
    <row r="123" spans="2:16" ht="12.5">
      <c r="B123" t="str">
        <f t="shared" si="15"/>
        <v/>
      </c>
      <c r="C123" s="62">
        <f>IF(D94="","-",+C122+1)</f>
        <v>2041</v>
      </c>
      <c r="D123" s="63">
        <f>IF(F122+SUM(E$100:E122)=D$93,F122,D$93-SUM(E$100:E122))</f>
        <v>0</v>
      </c>
      <c r="E123" s="69">
        <f t="shared" si="21"/>
        <v>0</v>
      </c>
      <c r="F123" s="68">
        <f t="shared" si="22"/>
        <v>0</v>
      </c>
      <c r="G123" s="68">
        <f t="shared" si="23"/>
        <v>0</v>
      </c>
      <c r="H123" s="128">
        <f t="shared" si="16"/>
        <v>0</v>
      </c>
      <c r="I123" s="137">
        <f t="shared" si="24"/>
        <v>0</v>
      </c>
      <c r="J123" s="67">
        <f t="shared" si="17"/>
        <v>0</v>
      </c>
      <c r="K123" s="67"/>
      <c r="L123" s="130"/>
      <c r="M123" s="67">
        <f t="shared" si="18"/>
        <v>0</v>
      </c>
      <c r="N123" s="130"/>
      <c r="O123" s="67">
        <f t="shared" si="19"/>
        <v>0</v>
      </c>
      <c r="P123" s="67">
        <f t="shared" si="20"/>
        <v>0</v>
      </c>
    </row>
    <row r="124" spans="2:16" ht="12.5">
      <c r="B124" t="str">
        <f t="shared" si="15"/>
        <v/>
      </c>
      <c r="C124" s="62">
        <f>IF(D94="","-",+C123+1)</f>
        <v>2042</v>
      </c>
      <c r="D124" s="63">
        <f>IF(F123+SUM(E$100:E123)=D$93,F123,D$93-SUM(E$100:E123))</f>
        <v>0</v>
      </c>
      <c r="E124" s="69">
        <f t="shared" si="21"/>
        <v>0</v>
      </c>
      <c r="F124" s="68">
        <f t="shared" si="22"/>
        <v>0</v>
      </c>
      <c r="G124" s="68">
        <f t="shared" si="23"/>
        <v>0</v>
      </c>
      <c r="H124" s="128">
        <f t="shared" si="16"/>
        <v>0</v>
      </c>
      <c r="I124" s="137">
        <f t="shared" si="24"/>
        <v>0</v>
      </c>
      <c r="J124" s="67">
        <f t="shared" si="17"/>
        <v>0</v>
      </c>
      <c r="K124" s="67"/>
      <c r="L124" s="130"/>
      <c r="M124" s="67">
        <f t="shared" si="18"/>
        <v>0</v>
      </c>
      <c r="N124" s="130"/>
      <c r="O124" s="67">
        <f t="shared" si="19"/>
        <v>0</v>
      </c>
      <c r="P124" s="67">
        <f t="shared" si="20"/>
        <v>0</v>
      </c>
    </row>
    <row r="125" spans="2:16" ht="12.5">
      <c r="B125" t="str">
        <f t="shared" si="15"/>
        <v/>
      </c>
      <c r="C125" s="62">
        <f>IF(D94="","-",+C124+1)</f>
        <v>2043</v>
      </c>
      <c r="D125" s="63">
        <f>IF(F124+SUM(E$100:E124)=D$93,F124,D$93-SUM(E$100:E124))</f>
        <v>0</v>
      </c>
      <c r="E125" s="69">
        <f t="shared" si="21"/>
        <v>0</v>
      </c>
      <c r="F125" s="68">
        <f t="shared" si="22"/>
        <v>0</v>
      </c>
      <c r="G125" s="68">
        <f t="shared" si="23"/>
        <v>0</v>
      </c>
      <c r="H125" s="128">
        <f t="shared" si="16"/>
        <v>0</v>
      </c>
      <c r="I125" s="137">
        <f t="shared" si="24"/>
        <v>0</v>
      </c>
      <c r="J125" s="67">
        <f t="shared" si="17"/>
        <v>0</v>
      </c>
      <c r="K125" s="67"/>
      <c r="L125" s="130"/>
      <c r="M125" s="67">
        <f t="shared" si="18"/>
        <v>0</v>
      </c>
      <c r="N125" s="130"/>
      <c r="O125" s="67">
        <f t="shared" si="19"/>
        <v>0</v>
      </c>
      <c r="P125" s="67">
        <f t="shared" si="20"/>
        <v>0</v>
      </c>
    </row>
    <row r="126" spans="2:16" ht="12.5">
      <c r="B126" t="str">
        <f t="shared" si="15"/>
        <v/>
      </c>
      <c r="C126" s="62">
        <f>IF(D94="","-",+C125+1)</f>
        <v>2044</v>
      </c>
      <c r="D126" s="63">
        <f>IF(F125+SUM(E$100:E125)=D$93,F125,D$93-SUM(E$100:E125))</f>
        <v>0</v>
      </c>
      <c r="E126" s="69">
        <f t="shared" si="21"/>
        <v>0</v>
      </c>
      <c r="F126" s="68">
        <f t="shared" si="22"/>
        <v>0</v>
      </c>
      <c r="G126" s="68">
        <f t="shared" si="23"/>
        <v>0</v>
      </c>
      <c r="H126" s="128">
        <f t="shared" si="16"/>
        <v>0</v>
      </c>
      <c r="I126" s="137">
        <f t="shared" si="24"/>
        <v>0</v>
      </c>
      <c r="J126" s="67">
        <f t="shared" si="17"/>
        <v>0</v>
      </c>
      <c r="K126" s="67"/>
      <c r="L126" s="130"/>
      <c r="M126" s="67">
        <f t="shared" si="18"/>
        <v>0</v>
      </c>
      <c r="N126" s="130"/>
      <c r="O126" s="67">
        <f t="shared" si="19"/>
        <v>0</v>
      </c>
      <c r="P126" s="67">
        <f t="shared" si="20"/>
        <v>0</v>
      </c>
    </row>
    <row r="127" spans="2:16" ht="12.5">
      <c r="B127" t="str">
        <f t="shared" si="15"/>
        <v/>
      </c>
      <c r="C127" s="62">
        <f>IF(D94="","-",+C126+1)</f>
        <v>2045</v>
      </c>
      <c r="D127" s="63">
        <f>IF(F126+SUM(E$100:E126)=D$93,F126,D$93-SUM(E$100:E126))</f>
        <v>0</v>
      </c>
      <c r="E127" s="69">
        <f t="shared" si="21"/>
        <v>0</v>
      </c>
      <c r="F127" s="68">
        <f t="shared" si="22"/>
        <v>0</v>
      </c>
      <c r="G127" s="68">
        <f t="shared" si="23"/>
        <v>0</v>
      </c>
      <c r="H127" s="128">
        <f t="shared" si="16"/>
        <v>0</v>
      </c>
      <c r="I127" s="137">
        <f t="shared" si="24"/>
        <v>0</v>
      </c>
      <c r="J127" s="67">
        <f t="shared" si="17"/>
        <v>0</v>
      </c>
      <c r="K127" s="67"/>
      <c r="L127" s="130"/>
      <c r="M127" s="67">
        <f t="shared" si="18"/>
        <v>0</v>
      </c>
      <c r="N127" s="130"/>
      <c r="O127" s="67">
        <f t="shared" si="19"/>
        <v>0</v>
      </c>
      <c r="P127" s="67">
        <f t="shared" si="20"/>
        <v>0</v>
      </c>
    </row>
    <row r="128" spans="2:16" ht="12.5">
      <c r="B128" t="str">
        <f t="shared" si="15"/>
        <v/>
      </c>
      <c r="C128" s="62">
        <f>IF(D94="","-",+C127+1)</f>
        <v>2046</v>
      </c>
      <c r="D128" s="63">
        <f>IF(F127+SUM(E$100:E127)=D$93,F127,D$93-SUM(E$100:E127))</f>
        <v>0</v>
      </c>
      <c r="E128" s="69">
        <f t="shared" si="21"/>
        <v>0</v>
      </c>
      <c r="F128" s="68">
        <f t="shared" si="22"/>
        <v>0</v>
      </c>
      <c r="G128" s="68">
        <f t="shared" si="23"/>
        <v>0</v>
      </c>
      <c r="H128" s="128">
        <f t="shared" si="16"/>
        <v>0</v>
      </c>
      <c r="I128" s="137">
        <f t="shared" si="24"/>
        <v>0</v>
      </c>
      <c r="J128" s="67">
        <f t="shared" si="17"/>
        <v>0</v>
      </c>
      <c r="K128" s="67"/>
      <c r="L128" s="130"/>
      <c r="M128" s="67">
        <f t="shared" si="18"/>
        <v>0</v>
      </c>
      <c r="N128" s="130"/>
      <c r="O128" s="67">
        <f t="shared" si="19"/>
        <v>0</v>
      </c>
      <c r="P128" s="67">
        <f t="shared" si="20"/>
        <v>0</v>
      </c>
    </row>
    <row r="129" spans="2:16" ht="12.5">
      <c r="B129" t="str">
        <f t="shared" si="15"/>
        <v/>
      </c>
      <c r="C129" s="62">
        <f>IF(D94="","-",+C128+1)</f>
        <v>2047</v>
      </c>
      <c r="D129" s="63">
        <f>IF(F128+SUM(E$100:E128)=D$93,F128,D$93-SUM(E$100:E128))</f>
        <v>0</v>
      </c>
      <c r="E129" s="69">
        <f t="shared" si="21"/>
        <v>0</v>
      </c>
      <c r="F129" s="68">
        <f t="shared" si="22"/>
        <v>0</v>
      </c>
      <c r="G129" s="68">
        <f t="shared" si="23"/>
        <v>0</v>
      </c>
      <c r="H129" s="128">
        <f t="shared" si="16"/>
        <v>0</v>
      </c>
      <c r="I129" s="137">
        <f t="shared" si="24"/>
        <v>0</v>
      </c>
      <c r="J129" s="67">
        <f t="shared" si="17"/>
        <v>0</v>
      </c>
      <c r="K129" s="67"/>
      <c r="L129" s="130"/>
      <c r="M129" s="67">
        <f t="shared" si="18"/>
        <v>0</v>
      </c>
      <c r="N129" s="130"/>
      <c r="O129" s="67">
        <f t="shared" si="19"/>
        <v>0</v>
      </c>
      <c r="P129" s="67">
        <f t="shared" si="20"/>
        <v>0</v>
      </c>
    </row>
    <row r="130" spans="2:16" ht="12.5">
      <c r="B130" t="str">
        <f t="shared" si="15"/>
        <v/>
      </c>
      <c r="C130" s="62">
        <f>IF(D94="","-",+C129+1)</f>
        <v>2048</v>
      </c>
      <c r="D130" s="63">
        <f>IF(F129+SUM(E$100:E129)=D$93,F129,D$93-SUM(E$100:E129))</f>
        <v>0</v>
      </c>
      <c r="E130" s="69">
        <f t="shared" si="21"/>
        <v>0</v>
      </c>
      <c r="F130" s="68">
        <f t="shared" si="22"/>
        <v>0</v>
      </c>
      <c r="G130" s="68">
        <f t="shared" si="23"/>
        <v>0</v>
      </c>
      <c r="H130" s="128">
        <f t="shared" si="16"/>
        <v>0</v>
      </c>
      <c r="I130" s="137">
        <f t="shared" si="24"/>
        <v>0</v>
      </c>
      <c r="J130" s="67">
        <f t="shared" si="17"/>
        <v>0</v>
      </c>
      <c r="K130" s="67"/>
      <c r="L130" s="130"/>
      <c r="M130" s="67">
        <f t="shared" si="18"/>
        <v>0</v>
      </c>
      <c r="N130" s="130"/>
      <c r="O130" s="67">
        <f t="shared" si="19"/>
        <v>0</v>
      </c>
      <c r="P130" s="67">
        <f t="shared" si="20"/>
        <v>0</v>
      </c>
    </row>
    <row r="131" spans="2:16" ht="12.5">
      <c r="B131" t="str">
        <f t="shared" si="15"/>
        <v/>
      </c>
      <c r="C131" s="62">
        <f>IF(D94="","-",+C130+1)</f>
        <v>2049</v>
      </c>
      <c r="D131" s="63">
        <f>IF(F130+SUM(E$100:E130)=D$93,F130,D$93-SUM(E$100:E130))</f>
        <v>0</v>
      </c>
      <c r="E131" s="69">
        <f t="shared" si="21"/>
        <v>0</v>
      </c>
      <c r="F131" s="68">
        <f t="shared" si="22"/>
        <v>0</v>
      </c>
      <c r="G131" s="68">
        <f t="shared" si="23"/>
        <v>0</v>
      </c>
      <c r="H131" s="128">
        <f t="shared" si="16"/>
        <v>0</v>
      </c>
      <c r="I131" s="137">
        <f t="shared" si="24"/>
        <v>0</v>
      </c>
      <c r="J131" s="67">
        <f t="shared" si="17"/>
        <v>0</v>
      </c>
      <c r="K131" s="67"/>
      <c r="L131" s="130"/>
      <c r="M131" s="67">
        <f t="shared" si="18"/>
        <v>0</v>
      </c>
      <c r="N131" s="130"/>
      <c r="O131" s="67">
        <f t="shared" si="19"/>
        <v>0</v>
      </c>
      <c r="P131" s="67">
        <f t="shared" si="20"/>
        <v>0</v>
      </c>
    </row>
    <row r="132" spans="2:16" ht="12.5">
      <c r="B132" t="str">
        <f t="shared" si="15"/>
        <v/>
      </c>
      <c r="C132" s="62">
        <f>IF(D94="","-",+C131+1)</f>
        <v>2050</v>
      </c>
      <c r="D132" s="63">
        <f>IF(F131+SUM(E$100:E131)=D$93,F131,D$93-SUM(E$100:E131))</f>
        <v>0</v>
      </c>
      <c r="E132" s="69">
        <f t="shared" si="21"/>
        <v>0</v>
      </c>
      <c r="F132" s="68">
        <f t="shared" ref="F132:F155" si="25">+D132-E132</f>
        <v>0</v>
      </c>
      <c r="G132" s="68">
        <f t="shared" ref="G132:G155" si="26">+(F132+D132)/2</f>
        <v>0</v>
      </c>
      <c r="H132" s="128">
        <f t="shared" si="16"/>
        <v>0</v>
      </c>
      <c r="I132" s="137">
        <f t="shared" si="24"/>
        <v>0</v>
      </c>
      <c r="J132" s="67">
        <f t="shared" ref="J132:J155" si="27">+I542-H542</f>
        <v>0</v>
      </c>
      <c r="K132" s="67"/>
      <c r="L132" s="130"/>
      <c r="M132" s="67">
        <f t="shared" ref="M132:M155" si="28">IF(L542&lt;&gt;0,+H542-L542,0)</f>
        <v>0</v>
      </c>
      <c r="N132" s="130"/>
      <c r="O132" s="67">
        <f t="shared" ref="O132:O155" si="29">IF(N542&lt;&gt;0,+I542-N542,0)</f>
        <v>0</v>
      </c>
      <c r="P132" s="67">
        <f t="shared" ref="P132:P155" si="30">+O542-M542</f>
        <v>0</v>
      </c>
    </row>
    <row r="133" spans="2:16" ht="12.5">
      <c r="B133" t="str">
        <f t="shared" si="15"/>
        <v/>
      </c>
      <c r="C133" s="62">
        <f>IF(D94="","-",+C132+1)</f>
        <v>2051</v>
      </c>
      <c r="D133" s="63">
        <f>IF(F132+SUM(E$100:E132)=D$93,F132,D$93-SUM(E$100:E132))</f>
        <v>0</v>
      </c>
      <c r="E133" s="69">
        <f t="shared" ref="E133:E155" si="31">IF(+J$97&lt;F132,J$97,D133)</f>
        <v>0</v>
      </c>
      <c r="F133" s="68">
        <f t="shared" si="25"/>
        <v>0</v>
      </c>
      <c r="G133" s="68">
        <f t="shared" si="26"/>
        <v>0</v>
      </c>
      <c r="H133" s="128">
        <f t="shared" si="16"/>
        <v>0</v>
      </c>
      <c r="I133" s="137">
        <f t="shared" si="24"/>
        <v>0</v>
      </c>
      <c r="J133" s="67">
        <f t="shared" si="27"/>
        <v>0</v>
      </c>
      <c r="K133" s="67"/>
      <c r="L133" s="130"/>
      <c r="M133" s="67">
        <f t="shared" si="28"/>
        <v>0</v>
      </c>
      <c r="N133" s="130"/>
      <c r="O133" s="67">
        <f t="shared" si="29"/>
        <v>0</v>
      </c>
      <c r="P133" s="67">
        <f t="shared" si="30"/>
        <v>0</v>
      </c>
    </row>
    <row r="134" spans="2:16" ht="12.5">
      <c r="B134" t="str">
        <f t="shared" si="15"/>
        <v/>
      </c>
      <c r="C134" s="62">
        <f>IF(D94="","-",+C133+1)</f>
        <v>2052</v>
      </c>
      <c r="D134" s="63">
        <f>IF(F133+SUM(E$100:E133)=D$93,F133,D$93-SUM(E$100:E133))</f>
        <v>0</v>
      </c>
      <c r="E134" s="69">
        <f t="shared" si="31"/>
        <v>0</v>
      </c>
      <c r="F134" s="68">
        <f t="shared" si="25"/>
        <v>0</v>
      </c>
      <c r="G134" s="68">
        <f t="shared" si="26"/>
        <v>0</v>
      </c>
      <c r="H134" s="128">
        <f t="shared" si="16"/>
        <v>0</v>
      </c>
      <c r="I134" s="137">
        <f t="shared" si="24"/>
        <v>0</v>
      </c>
      <c r="J134" s="67">
        <f t="shared" si="27"/>
        <v>0</v>
      </c>
      <c r="K134" s="67"/>
      <c r="L134" s="130"/>
      <c r="M134" s="67">
        <f t="shared" si="28"/>
        <v>0</v>
      </c>
      <c r="N134" s="130"/>
      <c r="O134" s="67">
        <f t="shared" si="29"/>
        <v>0</v>
      </c>
      <c r="P134" s="67">
        <f t="shared" si="30"/>
        <v>0</v>
      </c>
    </row>
    <row r="135" spans="2:16" ht="12.5">
      <c r="B135" t="str">
        <f t="shared" si="15"/>
        <v/>
      </c>
      <c r="C135" s="62">
        <f>IF(D94="","-",+C134+1)</f>
        <v>2053</v>
      </c>
      <c r="D135" s="63">
        <f>IF(F134+SUM(E$100:E134)=D$93,F134,D$93-SUM(E$100:E134))</f>
        <v>0</v>
      </c>
      <c r="E135" s="69">
        <f t="shared" si="31"/>
        <v>0</v>
      </c>
      <c r="F135" s="68">
        <f t="shared" si="25"/>
        <v>0</v>
      </c>
      <c r="G135" s="68">
        <f t="shared" si="26"/>
        <v>0</v>
      </c>
      <c r="H135" s="128">
        <f t="shared" si="16"/>
        <v>0</v>
      </c>
      <c r="I135" s="137">
        <f t="shared" si="24"/>
        <v>0</v>
      </c>
      <c r="J135" s="67">
        <f t="shared" si="27"/>
        <v>0</v>
      </c>
      <c r="K135" s="67"/>
      <c r="L135" s="130"/>
      <c r="M135" s="67">
        <f t="shared" si="28"/>
        <v>0</v>
      </c>
      <c r="N135" s="130"/>
      <c r="O135" s="67">
        <f t="shared" si="29"/>
        <v>0</v>
      </c>
      <c r="P135" s="67">
        <f t="shared" si="30"/>
        <v>0</v>
      </c>
    </row>
    <row r="136" spans="2:16" ht="12.5">
      <c r="B136" t="str">
        <f t="shared" si="15"/>
        <v/>
      </c>
      <c r="C136" s="62">
        <f>IF(D94="","-",+C135+1)</f>
        <v>2054</v>
      </c>
      <c r="D136" s="63">
        <f>IF(F135+SUM(E$100:E135)=D$93,F135,D$93-SUM(E$100:E135))</f>
        <v>0</v>
      </c>
      <c r="E136" s="69">
        <f t="shared" si="31"/>
        <v>0</v>
      </c>
      <c r="F136" s="68">
        <f t="shared" si="25"/>
        <v>0</v>
      </c>
      <c r="G136" s="68">
        <f t="shared" si="26"/>
        <v>0</v>
      </c>
      <c r="H136" s="128">
        <f t="shared" si="16"/>
        <v>0</v>
      </c>
      <c r="I136" s="137">
        <f t="shared" si="24"/>
        <v>0</v>
      </c>
      <c r="J136" s="67">
        <f t="shared" si="27"/>
        <v>0</v>
      </c>
      <c r="K136" s="67"/>
      <c r="L136" s="130"/>
      <c r="M136" s="67">
        <f t="shared" si="28"/>
        <v>0</v>
      </c>
      <c r="N136" s="130"/>
      <c r="O136" s="67">
        <f t="shared" si="29"/>
        <v>0</v>
      </c>
      <c r="P136" s="67">
        <f t="shared" si="30"/>
        <v>0</v>
      </c>
    </row>
    <row r="137" spans="2:16" ht="12.5">
      <c r="B137" t="str">
        <f t="shared" si="15"/>
        <v/>
      </c>
      <c r="C137" s="62">
        <f>IF(D94="","-",+C136+1)</f>
        <v>2055</v>
      </c>
      <c r="D137" s="63">
        <f>IF(F136+SUM(E$100:E136)=D$93,F136,D$93-SUM(E$100:E136))</f>
        <v>0</v>
      </c>
      <c r="E137" s="69">
        <f t="shared" si="31"/>
        <v>0</v>
      </c>
      <c r="F137" s="68">
        <f t="shared" si="25"/>
        <v>0</v>
      </c>
      <c r="G137" s="68">
        <f t="shared" si="26"/>
        <v>0</v>
      </c>
      <c r="H137" s="128">
        <f t="shared" si="16"/>
        <v>0</v>
      </c>
      <c r="I137" s="137">
        <f t="shared" si="24"/>
        <v>0</v>
      </c>
      <c r="J137" s="67">
        <f t="shared" si="27"/>
        <v>0</v>
      </c>
      <c r="K137" s="67"/>
      <c r="L137" s="130"/>
      <c r="M137" s="67">
        <f t="shared" si="28"/>
        <v>0</v>
      </c>
      <c r="N137" s="130"/>
      <c r="O137" s="67">
        <f t="shared" si="29"/>
        <v>0</v>
      </c>
      <c r="P137" s="67">
        <f t="shared" si="30"/>
        <v>0</v>
      </c>
    </row>
    <row r="138" spans="2:16" ht="12.5">
      <c r="B138" t="str">
        <f t="shared" si="15"/>
        <v/>
      </c>
      <c r="C138" s="62">
        <f>IF(D94="","-",+C137+1)</f>
        <v>2056</v>
      </c>
      <c r="D138" s="63">
        <f>IF(F137+SUM(E$100:E137)=D$93,F137,D$93-SUM(E$100:E137))</f>
        <v>0</v>
      </c>
      <c r="E138" s="69">
        <f t="shared" si="31"/>
        <v>0</v>
      </c>
      <c r="F138" s="68">
        <f t="shared" si="25"/>
        <v>0</v>
      </c>
      <c r="G138" s="68">
        <f t="shared" si="26"/>
        <v>0</v>
      </c>
      <c r="H138" s="128">
        <f t="shared" si="16"/>
        <v>0</v>
      </c>
      <c r="I138" s="137">
        <f t="shared" si="24"/>
        <v>0</v>
      </c>
      <c r="J138" s="67">
        <f t="shared" si="27"/>
        <v>0</v>
      </c>
      <c r="K138" s="67"/>
      <c r="L138" s="130"/>
      <c r="M138" s="67">
        <f t="shared" si="28"/>
        <v>0</v>
      </c>
      <c r="N138" s="130"/>
      <c r="O138" s="67">
        <f t="shared" si="29"/>
        <v>0</v>
      </c>
      <c r="P138" s="67">
        <f t="shared" si="30"/>
        <v>0</v>
      </c>
    </row>
    <row r="139" spans="2:16" ht="12.5">
      <c r="B139" t="str">
        <f t="shared" si="15"/>
        <v/>
      </c>
      <c r="C139" s="62">
        <f>IF(D94="","-",+C138+1)</f>
        <v>2057</v>
      </c>
      <c r="D139" s="63">
        <f>IF(F138+SUM(E$100:E138)=D$93,F138,D$93-SUM(E$100:E138))</f>
        <v>0</v>
      </c>
      <c r="E139" s="69">
        <f t="shared" si="31"/>
        <v>0</v>
      </c>
      <c r="F139" s="68">
        <f t="shared" si="25"/>
        <v>0</v>
      </c>
      <c r="G139" s="68">
        <f t="shared" si="26"/>
        <v>0</v>
      </c>
      <c r="H139" s="128">
        <f t="shared" si="16"/>
        <v>0</v>
      </c>
      <c r="I139" s="137">
        <f t="shared" si="24"/>
        <v>0</v>
      </c>
      <c r="J139" s="67">
        <f t="shared" si="27"/>
        <v>0</v>
      </c>
      <c r="K139" s="67"/>
      <c r="L139" s="130"/>
      <c r="M139" s="67">
        <f t="shared" si="28"/>
        <v>0</v>
      </c>
      <c r="N139" s="130"/>
      <c r="O139" s="67">
        <f t="shared" si="29"/>
        <v>0</v>
      </c>
      <c r="P139" s="67">
        <f t="shared" si="30"/>
        <v>0</v>
      </c>
    </row>
    <row r="140" spans="2:16" ht="12.5">
      <c r="B140" t="str">
        <f t="shared" si="15"/>
        <v/>
      </c>
      <c r="C140" s="62">
        <f>IF(D94="","-",+C139+1)</f>
        <v>2058</v>
      </c>
      <c r="D140" s="63">
        <f>IF(F139+SUM(E$100:E139)=D$93,F139,D$93-SUM(E$100:E139))</f>
        <v>0</v>
      </c>
      <c r="E140" s="69">
        <f t="shared" si="31"/>
        <v>0</v>
      </c>
      <c r="F140" s="68">
        <f t="shared" si="25"/>
        <v>0</v>
      </c>
      <c r="G140" s="68">
        <f t="shared" si="26"/>
        <v>0</v>
      </c>
      <c r="H140" s="128">
        <f t="shared" si="16"/>
        <v>0</v>
      </c>
      <c r="I140" s="137">
        <f t="shared" si="24"/>
        <v>0</v>
      </c>
      <c r="J140" s="67">
        <f t="shared" si="27"/>
        <v>0</v>
      </c>
      <c r="K140" s="67"/>
      <c r="L140" s="130"/>
      <c r="M140" s="67">
        <f t="shared" si="28"/>
        <v>0</v>
      </c>
      <c r="N140" s="130"/>
      <c r="O140" s="67">
        <f t="shared" si="29"/>
        <v>0</v>
      </c>
      <c r="P140" s="67">
        <f t="shared" si="30"/>
        <v>0</v>
      </c>
    </row>
    <row r="141" spans="2:16" ht="12.5">
      <c r="B141" t="str">
        <f t="shared" si="15"/>
        <v/>
      </c>
      <c r="C141" s="62">
        <f>IF(D94="","-",+C140+1)</f>
        <v>2059</v>
      </c>
      <c r="D141" s="63">
        <f>IF(F140+SUM(E$100:E140)=D$93,F140,D$93-SUM(E$100:E140))</f>
        <v>0</v>
      </c>
      <c r="E141" s="69">
        <f t="shared" si="31"/>
        <v>0</v>
      </c>
      <c r="F141" s="68">
        <f t="shared" si="25"/>
        <v>0</v>
      </c>
      <c r="G141" s="68">
        <f t="shared" si="26"/>
        <v>0</v>
      </c>
      <c r="H141" s="128">
        <f t="shared" si="16"/>
        <v>0</v>
      </c>
      <c r="I141" s="137">
        <f t="shared" si="24"/>
        <v>0</v>
      </c>
      <c r="J141" s="67">
        <f t="shared" si="27"/>
        <v>0</v>
      </c>
      <c r="K141" s="67"/>
      <c r="L141" s="130"/>
      <c r="M141" s="67">
        <f t="shared" si="28"/>
        <v>0</v>
      </c>
      <c r="N141" s="130"/>
      <c r="O141" s="67">
        <f t="shared" si="29"/>
        <v>0</v>
      </c>
      <c r="P141" s="67">
        <f t="shared" si="30"/>
        <v>0</v>
      </c>
    </row>
    <row r="142" spans="2:16" ht="12.5">
      <c r="B142" t="str">
        <f t="shared" si="15"/>
        <v/>
      </c>
      <c r="C142" s="62">
        <f>IF(D94="","-",+C141+1)</f>
        <v>2060</v>
      </c>
      <c r="D142" s="63">
        <f>IF(F141+SUM(E$100:E141)=D$93,F141,D$93-SUM(E$100:E141))</f>
        <v>0</v>
      </c>
      <c r="E142" s="69">
        <f t="shared" si="31"/>
        <v>0</v>
      </c>
      <c r="F142" s="68">
        <f t="shared" si="25"/>
        <v>0</v>
      </c>
      <c r="G142" s="68">
        <f t="shared" si="26"/>
        <v>0</v>
      </c>
      <c r="H142" s="128">
        <f t="shared" si="16"/>
        <v>0</v>
      </c>
      <c r="I142" s="137">
        <f t="shared" si="24"/>
        <v>0</v>
      </c>
      <c r="J142" s="67">
        <f t="shared" si="27"/>
        <v>0</v>
      </c>
      <c r="K142" s="67"/>
      <c r="L142" s="130"/>
      <c r="M142" s="67">
        <f t="shared" si="28"/>
        <v>0</v>
      </c>
      <c r="N142" s="130"/>
      <c r="O142" s="67">
        <f t="shared" si="29"/>
        <v>0</v>
      </c>
      <c r="P142" s="67">
        <f t="shared" si="30"/>
        <v>0</v>
      </c>
    </row>
    <row r="143" spans="2:16" ht="12.5">
      <c r="B143" t="str">
        <f t="shared" si="15"/>
        <v/>
      </c>
      <c r="C143" s="62">
        <f>IF(D94="","-",+C142+1)</f>
        <v>2061</v>
      </c>
      <c r="D143" s="63">
        <f>IF(F142+SUM(E$100:E142)=D$93,F142,D$93-SUM(E$100:E142))</f>
        <v>0</v>
      </c>
      <c r="E143" s="69">
        <f t="shared" si="31"/>
        <v>0</v>
      </c>
      <c r="F143" s="68">
        <f t="shared" si="25"/>
        <v>0</v>
      </c>
      <c r="G143" s="68">
        <f t="shared" si="26"/>
        <v>0</v>
      </c>
      <c r="H143" s="128">
        <f t="shared" si="16"/>
        <v>0</v>
      </c>
      <c r="I143" s="137">
        <f t="shared" si="24"/>
        <v>0</v>
      </c>
      <c r="J143" s="67">
        <f t="shared" si="27"/>
        <v>0</v>
      </c>
      <c r="K143" s="67"/>
      <c r="L143" s="130"/>
      <c r="M143" s="67">
        <f t="shared" si="28"/>
        <v>0</v>
      </c>
      <c r="N143" s="130"/>
      <c r="O143" s="67">
        <f t="shared" si="29"/>
        <v>0</v>
      </c>
      <c r="P143" s="67">
        <f t="shared" si="30"/>
        <v>0</v>
      </c>
    </row>
    <row r="144" spans="2:16" ht="12.5">
      <c r="B144" t="str">
        <f t="shared" si="15"/>
        <v/>
      </c>
      <c r="C144" s="62">
        <f>IF(D94="","-",+C143+1)</f>
        <v>2062</v>
      </c>
      <c r="D144" s="63">
        <f>IF(F143+SUM(E$100:E143)=D$93,F143,D$93-SUM(E$100:E143))</f>
        <v>0</v>
      </c>
      <c r="E144" s="69">
        <f t="shared" si="31"/>
        <v>0</v>
      </c>
      <c r="F144" s="68">
        <f t="shared" si="25"/>
        <v>0</v>
      </c>
      <c r="G144" s="68">
        <f t="shared" si="26"/>
        <v>0</v>
      </c>
      <c r="H144" s="128">
        <f t="shared" si="16"/>
        <v>0</v>
      </c>
      <c r="I144" s="137">
        <f t="shared" si="24"/>
        <v>0</v>
      </c>
      <c r="J144" s="67">
        <f t="shared" si="27"/>
        <v>0</v>
      </c>
      <c r="K144" s="67"/>
      <c r="L144" s="130"/>
      <c r="M144" s="67">
        <f t="shared" si="28"/>
        <v>0</v>
      </c>
      <c r="N144" s="130"/>
      <c r="O144" s="67">
        <f t="shared" si="29"/>
        <v>0</v>
      </c>
      <c r="P144" s="67">
        <f t="shared" si="30"/>
        <v>0</v>
      </c>
    </row>
    <row r="145" spans="2:16" ht="12.5">
      <c r="B145" t="str">
        <f t="shared" si="15"/>
        <v/>
      </c>
      <c r="C145" s="62">
        <f>IF(D94="","-",+C144+1)</f>
        <v>2063</v>
      </c>
      <c r="D145" s="63">
        <f>IF(F144+SUM(E$100:E144)=D$93,F144,D$93-SUM(E$100:E144))</f>
        <v>0</v>
      </c>
      <c r="E145" s="69">
        <f t="shared" si="31"/>
        <v>0</v>
      </c>
      <c r="F145" s="68">
        <f t="shared" si="25"/>
        <v>0</v>
      </c>
      <c r="G145" s="68">
        <f t="shared" si="26"/>
        <v>0</v>
      </c>
      <c r="H145" s="128">
        <f t="shared" si="16"/>
        <v>0</v>
      </c>
      <c r="I145" s="137">
        <f t="shared" si="24"/>
        <v>0</v>
      </c>
      <c r="J145" s="67">
        <f t="shared" si="27"/>
        <v>0</v>
      </c>
      <c r="K145" s="67"/>
      <c r="L145" s="130"/>
      <c r="M145" s="67">
        <f t="shared" si="28"/>
        <v>0</v>
      </c>
      <c r="N145" s="130"/>
      <c r="O145" s="67">
        <f t="shared" si="29"/>
        <v>0</v>
      </c>
      <c r="P145" s="67">
        <f t="shared" si="30"/>
        <v>0</v>
      </c>
    </row>
    <row r="146" spans="2:16" ht="12.5">
      <c r="B146" t="str">
        <f t="shared" si="15"/>
        <v/>
      </c>
      <c r="C146" s="62">
        <f>IF(D94="","-",+C145+1)</f>
        <v>2064</v>
      </c>
      <c r="D146" s="63">
        <f>IF(F145+SUM(E$100:E145)=D$93,F145,D$93-SUM(E$100:E145))</f>
        <v>0</v>
      </c>
      <c r="E146" s="69">
        <f t="shared" si="31"/>
        <v>0</v>
      </c>
      <c r="F146" s="68">
        <f t="shared" si="25"/>
        <v>0</v>
      </c>
      <c r="G146" s="68">
        <f t="shared" si="26"/>
        <v>0</v>
      </c>
      <c r="H146" s="128">
        <f t="shared" si="16"/>
        <v>0</v>
      </c>
      <c r="I146" s="137">
        <f t="shared" si="24"/>
        <v>0</v>
      </c>
      <c r="J146" s="67">
        <f t="shared" si="27"/>
        <v>0</v>
      </c>
      <c r="K146" s="67"/>
      <c r="L146" s="130"/>
      <c r="M146" s="67">
        <f t="shared" si="28"/>
        <v>0</v>
      </c>
      <c r="N146" s="130"/>
      <c r="O146" s="67">
        <f t="shared" si="29"/>
        <v>0</v>
      </c>
      <c r="P146" s="67">
        <f t="shared" si="30"/>
        <v>0</v>
      </c>
    </row>
    <row r="147" spans="2:16" ht="12.5">
      <c r="B147" t="str">
        <f t="shared" si="15"/>
        <v/>
      </c>
      <c r="C147" s="62">
        <f>IF(D94="","-",+C146+1)</f>
        <v>2065</v>
      </c>
      <c r="D147" s="63">
        <f>IF(F146+SUM(E$100:E146)=D$93,F146,D$93-SUM(E$100:E146))</f>
        <v>0</v>
      </c>
      <c r="E147" s="69">
        <f t="shared" si="31"/>
        <v>0</v>
      </c>
      <c r="F147" s="68">
        <f t="shared" si="25"/>
        <v>0</v>
      </c>
      <c r="G147" s="68">
        <f t="shared" si="26"/>
        <v>0</v>
      </c>
      <c r="H147" s="128">
        <f t="shared" si="16"/>
        <v>0</v>
      </c>
      <c r="I147" s="137">
        <f t="shared" si="24"/>
        <v>0</v>
      </c>
      <c r="J147" s="67">
        <f t="shared" si="27"/>
        <v>0</v>
      </c>
      <c r="K147" s="67"/>
      <c r="L147" s="130"/>
      <c r="M147" s="67">
        <f t="shared" si="28"/>
        <v>0</v>
      </c>
      <c r="N147" s="130"/>
      <c r="O147" s="67">
        <f t="shared" si="29"/>
        <v>0</v>
      </c>
      <c r="P147" s="67">
        <f t="shared" si="30"/>
        <v>0</v>
      </c>
    </row>
    <row r="148" spans="2:16" ht="12.5">
      <c r="B148" t="str">
        <f t="shared" si="15"/>
        <v/>
      </c>
      <c r="C148" s="62">
        <f>IF(D94="","-",+C147+1)</f>
        <v>2066</v>
      </c>
      <c r="D148" s="63">
        <f>IF(F147+SUM(E$100:E147)=D$93,F147,D$93-SUM(E$100:E147))</f>
        <v>0</v>
      </c>
      <c r="E148" s="69">
        <f t="shared" si="31"/>
        <v>0</v>
      </c>
      <c r="F148" s="68">
        <f t="shared" si="25"/>
        <v>0</v>
      </c>
      <c r="G148" s="68">
        <f t="shared" si="26"/>
        <v>0</v>
      </c>
      <c r="H148" s="128">
        <f t="shared" si="16"/>
        <v>0</v>
      </c>
      <c r="I148" s="137">
        <f t="shared" si="24"/>
        <v>0</v>
      </c>
      <c r="J148" s="67">
        <f t="shared" si="27"/>
        <v>0</v>
      </c>
      <c r="K148" s="67"/>
      <c r="L148" s="130"/>
      <c r="M148" s="67">
        <f t="shared" si="28"/>
        <v>0</v>
      </c>
      <c r="N148" s="130"/>
      <c r="O148" s="67">
        <f t="shared" si="29"/>
        <v>0</v>
      </c>
      <c r="P148" s="67">
        <f t="shared" si="30"/>
        <v>0</v>
      </c>
    </row>
    <row r="149" spans="2:16" ht="12.5">
      <c r="B149" t="str">
        <f t="shared" si="15"/>
        <v/>
      </c>
      <c r="C149" s="62">
        <f>IF(D94="","-",+C148+1)</f>
        <v>2067</v>
      </c>
      <c r="D149" s="63">
        <f>IF(F148+SUM(E$100:E148)=D$93,F148,D$93-SUM(E$100:E148))</f>
        <v>0</v>
      </c>
      <c r="E149" s="69">
        <f t="shared" si="31"/>
        <v>0</v>
      </c>
      <c r="F149" s="68">
        <f t="shared" si="25"/>
        <v>0</v>
      </c>
      <c r="G149" s="68">
        <f t="shared" si="26"/>
        <v>0</v>
      </c>
      <c r="H149" s="128">
        <f t="shared" si="16"/>
        <v>0</v>
      </c>
      <c r="I149" s="137">
        <f t="shared" si="24"/>
        <v>0</v>
      </c>
      <c r="J149" s="67">
        <f t="shared" si="27"/>
        <v>0</v>
      </c>
      <c r="K149" s="67"/>
      <c r="L149" s="130"/>
      <c r="M149" s="67">
        <f t="shared" si="28"/>
        <v>0</v>
      </c>
      <c r="N149" s="130"/>
      <c r="O149" s="67">
        <f t="shared" si="29"/>
        <v>0</v>
      </c>
      <c r="P149" s="67">
        <f t="shared" si="30"/>
        <v>0</v>
      </c>
    </row>
    <row r="150" spans="2:16" ht="12.5">
      <c r="B150" t="str">
        <f t="shared" si="15"/>
        <v/>
      </c>
      <c r="C150" s="62">
        <f>IF(D94="","-",+C149+1)</f>
        <v>2068</v>
      </c>
      <c r="D150" s="63">
        <f>IF(F149+SUM(E$100:E149)=D$93,F149,D$93-SUM(E$100:E149))</f>
        <v>0</v>
      </c>
      <c r="E150" s="69">
        <f t="shared" si="31"/>
        <v>0</v>
      </c>
      <c r="F150" s="68">
        <f t="shared" si="25"/>
        <v>0</v>
      </c>
      <c r="G150" s="68">
        <f t="shared" si="26"/>
        <v>0</v>
      </c>
      <c r="H150" s="128">
        <f t="shared" si="16"/>
        <v>0</v>
      </c>
      <c r="I150" s="137">
        <f t="shared" si="24"/>
        <v>0</v>
      </c>
      <c r="J150" s="67">
        <f t="shared" si="27"/>
        <v>0</v>
      </c>
      <c r="K150" s="67"/>
      <c r="L150" s="130"/>
      <c r="M150" s="67">
        <f t="shared" si="28"/>
        <v>0</v>
      </c>
      <c r="N150" s="130"/>
      <c r="O150" s="67">
        <f t="shared" si="29"/>
        <v>0</v>
      </c>
      <c r="P150" s="67">
        <f t="shared" si="30"/>
        <v>0</v>
      </c>
    </row>
    <row r="151" spans="2:16" ht="12.5">
      <c r="B151" t="str">
        <f t="shared" si="15"/>
        <v/>
      </c>
      <c r="C151" s="62">
        <f>IF(D94="","-",+C150+1)</f>
        <v>2069</v>
      </c>
      <c r="D151" s="63">
        <f>IF(F150+SUM(E$100:E150)=D$93,F150,D$93-SUM(E$100:E150))</f>
        <v>0</v>
      </c>
      <c r="E151" s="69">
        <f t="shared" si="31"/>
        <v>0</v>
      </c>
      <c r="F151" s="68">
        <f t="shared" si="25"/>
        <v>0</v>
      </c>
      <c r="G151" s="68">
        <f t="shared" si="26"/>
        <v>0</v>
      </c>
      <c r="H151" s="128">
        <f t="shared" si="16"/>
        <v>0</v>
      </c>
      <c r="I151" s="137">
        <f t="shared" si="24"/>
        <v>0</v>
      </c>
      <c r="J151" s="67">
        <f t="shared" si="27"/>
        <v>0</v>
      </c>
      <c r="K151" s="67"/>
      <c r="L151" s="130"/>
      <c r="M151" s="67">
        <f t="shared" si="28"/>
        <v>0</v>
      </c>
      <c r="N151" s="130"/>
      <c r="O151" s="67">
        <f t="shared" si="29"/>
        <v>0</v>
      </c>
      <c r="P151" s="67">
        <f t="shared" si="30"/>
        <v>0</v>
      </c>
    </row>
    <row r="152" spans="2:16" ht="12.5">
      <c r="B152" t="str">
        <f t="shared" si="15"/>
        <v/>
      </c>
      <c r="C152" s="62">
        <f>IF(D94="","-",+C151+1)</f>
        <v>2070</v>
      </c>
      <c r="D152" s="63">
        <f>IF(F151+SUM(E$100:E151)=D$93,F151,D$93-SUM(E$100:E151))</f>
        <v>0</v>
      </c>
      <c r="E152" s="69">
        <f t="shared" si="31"/>
        <v>0</v>
      </c>
      <c r="F152" s="68">
        <f t="shared" si="25"/>
        <v>0</v>
      </c>
      <c r="G152" s="68">
        <f t="shared" si="26"/>
        <v>0</v>
      </c>
      <c r="H152" s="128">
        <f t="shared" si="16"/>
        <v>0</v>
      </c>
      <c r="I152" s="137">
        <f t="shared" si="24"/>
        <v>0</v>
      </c>
      <c r="J152" s="67">
        <f t="shared" si="27"/>
        <v>0</v>
      </c>
      <c r="K152" s="67"/>
      <c r="L152" s="130"/>
      <c r="M152" s="67">
        <f t="shared" si="28"/>
        <v>0</v>
      </c>
      <c r="N152" s="130"/>
      <c r="O152" s="67">
        <f t="shared" si="29"/>
        <v>0</v>
      </c>
      <c r="P152" s="67">
        <f t="shared" si="30"/>
        <v>0</v>
      </c>
    </row>
    <row r="153" spans="2:16" ht="12.5">
      <c r="B153" t="str">
        <f t="shared" si="15"/>
        <v/>
      </c>
      <c r="C153" s="62">
        <f>IF(D94="","-",+C152+1)</f>
        <v>2071</v>
      </c>
      <c r="D153" s="63">
        <f>IF(F152+SUM(E$100:E152)=D$93,F152,D$93-SUM(E$100:E152))</f>
        <v>0</v>
      </c>
      <c r="E153" s="69">
        <f t="shared" si="31"/>
        <v>0</v>
      </c>
      <c r="F153" s="68">
        <f t="shared" si="25"/>
        <v>0</v>
      </c>
      <c r="G153" s="68">
        <f t="shared" si="26"/>
        <v>0</v>
      </c>
      <c r="H153" s="128">
        <f t="shared" si="16"/>
        <v>0</v>
      </c>
      <c r="I153" s="137">
        <f t="shared" si="24"/>
        <v>0</v>
      </c>
      <c r="J153" s="67">
        <f t="shared" si="27"/>
        <v>0</v>
      </c>
      <c r="K153" s="67"/>
      <c r="L153" s="130"/>
      <c r="M153" s="67">
        <f t="shared" si="28"/>
        <v>0</v>
      </c>
      <c r="N153" s="130"/>
      <c r="O153" s="67">
        <f t="shared" si="29"/>
        <v>0</v>
      </c>
      <c r="P153" s="67">
        <f t="shared" si="30"/>
        <v>0</v>
      </c>
    </row>
    <row r="154" spans="2:16" ht="12.5">
      <c r="B154" t="str">
        <f t="shared" si="15"/>
        <v/>
      </c>
      <c r="C154" s="62">
        <f>IF(D94="","-",+C153+1)</f>
        <v>2072</v>
      </c>
      <c r="D154" s="63">
        <f>IF(F153+SUM(E$100:E153)=D$93,F153,D$93-SUM(E$100:E153))</f>
        <v>0</v>
      </c>
      <c r="E154" s="69">
        <f t="shared" si="31"/>
        <v>0</v>
      </c>
      <c r="F154" s="68">
        <f t="shared" si="25"/>
        <v>0</v>
      </c>
      <c r="G154" s="68">
        <f t="shared" si="26"/>
        <v>0</v>
      </c>
      <c r="H154" s="128">
        <f t="shared" si="16"/>
        <v>0</v>
      </c>
      <c r="I154" s="137">
        <f t="shared" si="24"/>
        <v>0</v>
      </c>
      <c r="J154" s="67">
        <f t="shared" si="27"/>
        <v>0</v>
      </c>
      <c r="K154" s="67"/>
      <c r="L154" s="130"/>
      <c r="M154" s="67">
        <f t="shared" si="28"/>
        <v>0</v>
      </c>
      <c r="N154" s="130"/>
      <c r="O154" s="67">
        <f t="shared" si="29"/>
        <v>0</v>
      </c>
      <c r="P154" s="67">
        <f t="shared" si="30"/>
        <v>0</v>
      </c>
    </row>
    <row r="155" spans="2:16" ht="13" thickBot="1">
      <c r="B155" t="str">
        <f t="shared" si="15"/>
        <v/>
      </c>
      <c r="C155" s="73">
        <f>IF(D94="","-",+C154+1)</f>
        <v>2073</v>
      </c>
      <c r="D155" s="99">
        <f>IF(F154+SUM(E$100:E154)=D$93,F154,D$93-SUM(E$100:E154))</f>
        <v>0</v>
      </c>
      <c r="E155" s="75">
        <f t="shared" si="31"/>
        <v>0</v>
      </c>
      <c r="F155" s="74">
        <f t="shared" si="25"/>
        <v>0</v>
      </c>
      <c r="G155" s="74">
        <f t="shared" si="26"/>
        <v>0</v>
      </c>
      <c r="H155" s="138">
        <f t="shared" si="16"/>
        <v>0</v>
      </c>
      <c r="I155" s="139">
        <f t="shared" si="24"/>
        <v>0</v>
      </c>
      <c r="J155" s="78">
        <f t="shared" si="27"/>
        <v>0</v>
      </c>
      <c r="K155" s="67"/>
      <c r="L155" s="131"/>
      <c r="M155" s="78">
        <f t="shared" si="28"/>
        <v>0</v>
      </c>
      <c r="N155" s="131"/>
      <c r="O155" s="78">
        <f t="shared" si="29"/>
        <v>0</v>
      </c>
      <c r="P155" s="78">
        <f t="shared" si="30"/>
        <v>0</v>
      </c>
    </row>
    <row r="156" spans="2:16" ht="12.5">
      <c r="C156" s="63" t="s">
        <v>75</v>
      </c>
      <c r="D156" s="19"/>
      <c r="E156" s="19">
        <f>SUM(E100:E155)</f>
        <v>0</v>
      </c>
      <c r="F156" s="19"/>
      <c r="G156" s="19"/>
      <c r="H156" s="19">
        <f>SUM(H100:H155)</f>
        <v>0</v>
      </c>
      <c r="I156" s="19">
        <f>SUM(I100:I155)</f>
        <v>0</v>
      </c>
      <c r="J156" s="19">
        <f>SUM(J100:J155)</f>
        <v>0</v>
      </c>
      <c r="K156" s="19"/>
      <c r="L156" s="19"/>
      <c r="M156" s="19"/>
      <c r="N156" s="19"/>
      <c r="O156" s="19"/>
      <c r="P156" s="1"/>
    </row>
    <row r="157" spans="2:16" ht="12.5">
      <c r="C157" t="s">
        <v>90</v>
      </c>
      <c r="D157" s="2"/>
      <c r="E157" s="1"/>
      <c r="F157" s="1"/>
      <c r="G157" s="1"/>
      <c r="H157" s="1"/>
      <c r="I157" s="3"/>
      <c r="J157" s="3"/>
      <c r="K157" s="19"/>
      <c r="L157" s="3"/>
      <c r="M157" s="3"/>
      <c r="N157" s="3"/>
      <c r="O157" s="3"/>
      <c r="P157" s="1"/>
    </row>
    <row r="158" spans="2:16" ht="12.5">
      <c r="C158" s="100"/>
      <c r="D158" s="2"/>
      <c r="E158" s="1"/>
      <c r="F158" s="1"/>
      <c r="G158" s="1"/>
      <c r="H158" s="1"/>
      <c r="I158" s="3"/>
      <c r="J158" s="3"/>
      <c r="K158" s="19"/>
      <c r="L158" s="3"/>
      <c r="M158" s="3"/>
      <c r="N158" s="3"/>
      <c r="O158" s="3"/>
      <c r="P158" s="1"/>
    </row>
    <row r="159" spans="2:16" ht="13">
      <c r="C159" s="115" t="s">
        <v>130</v>
      </c>
      <c r="D159" s="2"/>
      <c r="E159" s="1"/>
      <c r="F159" s="1"/>
      <c r="G159" s="1"/>
      <c r="H159" s="1"/>
      <c r="I159" s="3"/>
      <c r="J159" s="3"/>
      <c r="K159" s="19"/>
      <c r="L159" s="3"/>
      <c r="M159" s="3"/>
      <c r="N159" s="3"/>
      <c r="O159" s="3"/>
      <c r="P159" s="1"/>
    </row>
    <row r="160" spans="2:16" ht="13">
      <c r="C160" s="31" t="s">
        <v>76</v>
      </c>
      <c r="D160" s="63"/>
      <c r="E160" s="63"/>
      <c r="F160" s="63"/>
      <c r="G160" s="63"/>
      <c r="H160" s="19"/>
      <c r="I160" s="19"/>
      <c r="J160" s="80"/>
      <c r="K160" s="80"/>
      <c r="L160" s="80"/>
      <c r="M160" s="80"/>
      <c r="N160" s="80"/>
      <c r="O160" s="80"/>
      <c r="P160" s="1"/>
    </row>
    <row r="161" spans="3:16" ht="13">
      <c r="C161" s="101" t="s">
        <v>77</v>
      </c>
      <c r="D161" s="63"/>
      <c r="E161" s="63"/>
      <c r="F161" s="63"/>
      <c r="G161" s="63"/>
      <c r="H161" s="19"/>
      <c r="I161" s="19"/>
      <c r="J161" s="80"/>
      <c r="K161" s="80"/>
      <c r="L161" s="80"/>
      <c r="M161" s="80"/>
      <c r="N161" s="80"/>
      <c r="O161" s="80"/>
      <c r="P161" s="1"/>
    </row>
    <row r="162" spans="3:16" ht="13">
      <c r="C162" s="101"/>
      <c r="D162" s="63"/>
      <c r="E162" s="63"/>
      <c r="F162" s="63"/>
      <c r="G162" s="63"/>
      <c r="H162" s="19"/>
      <c r="I162" s="19"/>
      <c r="J162" s="80"/>
      <c r="K162" s="80"/>
      <c r="L162" s="80"/>
      <c r="M162" s="80"/>
      <c r="N162" s="80"/>
      <c r="O162" s="80"/>
      <c r="P162" s="1"/>
    </row>
    <row r="163" spans="3:16" ht="17.5">
      <c r="C163" s="101"/>
      <c r="D163" s="63"/>
      <c r="E163" s="63"/>
      <c r="F163" s="63"/>
      <c r="G163" s="63"/>
      <c r="H163" s="19"/>
      <c r="I163" s="19"/>
      <c r="J163" s="80"/>
      <c r="K163" s="80"/>
      <c r="L163" s="80"/>
      <c r="M163" s="80"/>
      <c r="N163" s="80"/>
      <c r="P163" s="112" t="s">
        <v>129</v>
      </c>
    </row>
  </sheetData>
  <phoneticPr fontId="0" type="noConversion"/>
  <conditionalFormatting sqref="C17:C71 C73">
    <cfRule type="cellIs" dxfId="2" priority="2" stopIfTrue="1" operator="equal">
      <formula>$I$10</formula>
    </cfRule>
  </conditionalFormatting>
  <conditionalFormatting sqref="C100:C155">
    <cfRule type="cellIs" dxfId="1" priority="3" stopIfTrue="1" operator="equal">
      <formula>$J$93</formula>
    </cfRule>
  </conditionalFormatting>
  <conditionalFormatting sqref="C72">
    <cfRule type="cellIs" dxfId="0"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tabColor rgb="FFFFC000"/>
  </sheetPr>
  <dimension ref="A1:S137"/>
  <sheetViews>
    <sheetView zoomScale="80" zoomScaleNormal="80" zoomScaleSheetLayoutView="100" workbookViewId="0">
      <selection activeCell="R132" sqref="R132:R135"/>
    </sheetView>
  </sheetViews>
  <sheetFormatPr defaultColWidth="8.7265625" defaultRowHeight="12.75" customHeight="1"/>
  <cols>
    <col min="1" max="1" width="4.7265625" style="145" customWidth="1"/>
    <col min="2" max="2" width="6.7265625" style="145" customWidth="1"/>
    <col min="3" max="3" width="20.7265625" style="145" customWidth="1"/>
    <col min="4" max="9" width="17.7265625" style="145" customWidth="1"/>
    <col min="10" max="10" width="17.7265625" style="145" bestFit="1" customWidth="1"/>
    <col min="11" max="11" width="2.1796875" style="145" customWidth="1"/>
    <col min="12" max="14" width="17.7265625" style="145" customWidth="1"/>
    <col min="15" max="15" width="20.81640625" style="145" customWidth="1"/>
    <col min="16" max="16" width="19.54296875" style="145" customWidth="1"/>
    <col min="17" max="17" width="2.1796875" style="145" customWidth="1"/>
    <col min="18" max="18" width="16.453125" style="145" customWidth="1"/>
    <col min="19" max="19" width="52.453125" style="145" customWidth="1"/>
    <col min="20" max="16384" width="8.7265625" style="145"/>
  </cols>
  <sheetData>
    <row r="1" spans="1:19" ht="17.5">
      <c r="A1" s="736" t="str">
        <f>'OKT.WS.F.BPU.ATRR.Projected'!A1</f>
        <v xml:space="preserve">AEP West SPP Member Companies </v>
      </c>
      <c r="B1" s="741"/>
      <c r="C1" s="741"/>
      <c r="D1" s="741"/>
      <c r="E1" s="741"/>
      <c r="F1" s="741"/>
      <c r="G1" s="741"/>
      <c r="H1" s="741"/>
      <c r="I1" s="741"/>
      <c r="J1" s="741"/>
      <c r="K1" s="741"/>
      <c r="Q1" s="221"/>
      <c r="R1" s="221"/>
    </row>
    <row r="2" spans="1:19" ht="17.5">
      <c r="A2" s="736" t="str">
        <f>'OKT.WS.F.BPU.ATRR.Projected'!A2</f>
        <v>2023 Cost of Service Formula Rate Projected on 2023 FF1 Balances</v>
      </c>
      <c r="B2" s="741"/>
      <c r="C2" s="741"/>
      <c r="D2" s="741"/>
      <c r="E2" s="741"/>
      <c r="F2" s="741"/>
      <c r="G2" s="741"/>
      <c r="H2" s="741"/>
      <c r="I2" s="741"/>
      <c r="J2" s="741"/>
      <c r="K2" s="741"/>
      <c r="Q2" s="233" t="s">
        <v>110</v>
      </c>
      <c r="R2" s="221"/>
    </row>
    <row r="3" spans="1:19" ht="18">
      <c r="A3" s="738" t="s">
        <v>125</v>
      </c>
      <c r="B3" s="739"/>
      <c r="C3" s="739"/>
      <c r="D3" s="739"/>
      <c r="E3" s="739"/>
      <c r="F3" s="739"/>
      <c r="G3" s="739"/>
      <c r="H3" s="739"/>
      <c r="I3" s="739"/>
      <c r="J3" s="739"/>
      <c r="K3" s="739"/>
      <c r="Q3" s="221"/>
      <c r="R3" s="221"/>
    </row>
    <row r="4" spans="1:19" ht="17.5">
      <c r="A4" s="739" t="str">
        <f>"Based on a Carrying Charge Derived from ""Trued-Up"" "&amp;M16&amp;" Data"</f>
        <v>Based on a Carrying Charge Derived from "Trued-Up" 2023 Data</v>
      </c>
      <c r="B4" s="739"/>
      <c r="C4" s="739"/>
      <c r="D4" s="739"/>
      <c r="E4" s="739"/>
      <c r="F4" s="739"/>
      <c r="G4" s="739"/>
      <c r="H4" s="739"/>
      <c r="I4" s="739"/>
      <c r="J4" s="739"/>
      <c r="K4" s="739"/>
      <c r="Q4" s="221"/>
      <c r="R4" s="221"/>
    </row>
    <row r="5" spans="1:19" ht="18">
      <c r="A5" s="742" t="str">
        <f>'OKT.WS.F.BPU.ATRR.Projected'!A5</f>
        <v>OKLAHOMA TRANSMISSION COMPANY</v>
      </c>
      <c r="B5" s="743"/>
      <c r="C5" s="743"/>
      <c r="D5" s="743"/>
      <c r="E5" s="743"/>
      <c r="F5" s="743"/>
      <c r="G5" s="743"/>
      <c r="H5" s="743"/>
      <c r="I5" s="743"/>
      <c r="J5" s="743"/>
      <c r="K5" s="743"/>
      <c r="Q5" s="221"/>
      <c r="R5" s="221"/>
    </row>
    <row r="6" spans="1:19" ht="20">
      <c r="A6" s="381"/>
      <c r="C6" s="306"/>
      <c r="D6" s="157"/>
      <c r="I6" s="213"/>
      <c r="K6" s="221"/>
      <c r="Q6" s="221"/>
      <c r="R6" s="221"/>
    </row>
    <row r="7" spans="1:19" ht="12.5">
      <c r="D7" s="157"/>
      <c r="I7" s="213"/>
      <c r="K7" s="221"/>
      <c r="Q7" s="221"/>
      <c r="R7" s="221"/>
    </row>
    <row r="8" spans="1:19" ht="39.75" customHeight="1">
      <c r="B8" s="234" t="s">
        <v>0</v>
      </c>
      <c r="C8" s="733" t="str">
        <f>"Calculate Return and Income Taxes with "&amp;F13&amp;" basis point ROE increase for Projects Qualified for Incentive."</f>
        <v>Calculate Return and Income Taxes with 0 basis point ROE increase for Projects Qualified for Incentive.</v>
      </c>
      <c r="D8" s="734"/>
      <c r="E8" s="734"/>
      <c r="F8" s="734"/>
      <c r="G8" s="734"/>
      <c r="H8" s="734"/>
      <c r="I8" s="734"/>
      <c r="K8" s="221"/>
      <c r="Q8" s="221"/>
      <c r="R8" s="221"/>
    </row>
    <row r="9" spans="1:19" ht="15.75" customHeight="1">
      <c r="C9" s="382"/>
      <c r="D9" s="382"/>
      <c r="E9" s="382"/>
      <c r="F9" s="382"/>
      <c r="G9" s="382"/>
      <c r="H9" s="382"/>
      <c r="I9" s="382"/>
      <c r="K9" s="221"/>
      <c r="Q9" s="221"/>
      <c r="R9" s="221"/>
    </row>
    <row r="10" spans="1:19" ht="15.5">
      <c r="C10" s="236" t="str">
        <f>"A.   Determine 'R' with hypothetical "&amp;F13&amp;" basis point increase in ROE for Identified Projects"</f>
        <v>A.   Determine 'R' with hypothetical 0 basis point increase in ROE for Identified Projects</v>
      </c>
      <c r="D10" s="157"/>
      <c r="I10" s="213"/>
      <c r="K10" s="221"/>
      <c r="Q10" s="221"/>
      <c r="R10" s="221"/>
    </row>
    <row r="11" spans="1:19" ht="12.5">
      <c r="D11" s="157"/>
      <c r="I11" s="213"/>
      <c r="K11" s="221"/>
      <c r="Q11" s="221"/>
      <c r="R11" s="221"/>
    </row>
    <row r="12" spans="1:19" ht="12.5">
      <c r="C12" s="237" t="str">
        <f>S105</f>
        <v xml:space="preserve">   ROE w/o incentives  (TCOS, ln 143)</v>
      </c>
      <c r="D12" s="157"/>
      <c r="E12" s="238"/>
      <c r="F12" s="239">
        <v>0.105</v>
      </c>
      <c r="G12" s="239"/>
      <c r="H12" s="240"/>
      <c r="I12" s="241"/>
      <c r="J12" s="242"/>
      <c r="K12" s="243"/>
      <c r="L12" s="242"/>
      <c r="M12" s="242"/>
      <c r="N12" s="242"/>
      <c r="O12" s="242"/>
      <c r="P12" s="242"/>
      <c r="Q12" s="243"/>
      <c r="R12" s="279"/>
      <c r="S12" s="244"/>
    </row>
    <row r="13" spans="1:19" ht="13" thickBot="1">
      <c r="C13" s="237" t="s">
        <v>1</v>
      </c>
      <c r="D13" s="157"/>
      <c r="E13" s="238"/>
      <c r="F13" s="246">
        <f>R106</f>
        <v>0</v>
      </c>
      <c r="G13" s="383" t="s">
        <v>133</v>
      </c>
      <c r="L13" s="242"/>
      <c r="M13" s="242"/>
      <c r="N13" s="242"/>
      <c r="O13" s="242"/>
      <c r="P13" s="242"/>
      <c r="Q13" s="243"/>
      <c r="R13" s="279"/>
      <c r="S13" s="244"/>
    </row>
    <row r="14" spans="1:19" ht="13">
      <c r="C14" s="237" t="str">
        <f>"   ROE with additional "&amp;F13&amp;" basis point incentive"</f>
        <v xml:space="preserve">   ROE with additional 0 basis point incentive</v>
      </c>
      <c r="D14" s="238"/>
      <c r="E14" s="238"/>
      <c r="F14" s="247">
        <f>IF((F12+(F13/10000)&gt;0.1245),"ERROR",F12+(F13/10000))</f>
        <v>0.105</v>
      </c>
      <c r="G14" s="248" t="s">
        <v>2</v>
      </c>
      <c r="I14" s="242"/>
      <c r="J14" s="242"/>
      <c r="K14" s="243"/>
      <c r="L14" s="384" t="s">
        <v>79</v>
      </c>
      <c r="M14" s="385"/>
      <c r="N14" s="385"/>
      <c r="O14" s="385"/>
      <c r="P14" s="386"/>
      <c r="Q14" s="243"/>
      <c r="R14" s="279"/>
      <c r="S14" s="244"/>
    </row>
    <row r="15" spans="1:19" ht="12.5">
      <c r="C15" s="237" t="s">
        <v>3</v>
      </c>
      <c r="D15" s="157"/>
      <c r="E15" s="238"/>
      <c r="F15" s="247"/>
      <c r="G15" s="247"/>
      <c r="H15" s="238"/>
      <c r="I15" s="242"/>
      <c r="J15" s="242"/>
      <c r="K15" s="243"/>
      <c r="L15" s="258"/>
      <c r="M15" s="243"/>
      <c r="N15" s="243" t="s">
        <v>9</v>
      </c>
      <c r="O15" s="243" t="s">
        <v>10</v>
      </c>
      <c r="P15" s="260" t="s">
        <v>11</v>
      </c>
      <c r="Q15" s="243"/>
      <c r="R15" s="279"/>
      <c r="S15" s="244"/>
    </row>
    <row r="16" spans="1:19" ht="12.5">
      <c r="C16" s="243"/>
      <c r="D16" s="250" t="s">
        <v>5</v>
      </c>
      <c r="E16" s="250" t="s">
        <v>6</v>
      </c>
      <c r="F16" s="251" t="s">
        <v>7</v>
      </c>
      <c r="G16" s="251"/>
      <c r="H16" s="238"/>
      <c r="I16" s="242"/>
      <c r="J16" s="242"/>
      <c r="K16" s="243"/>
      <c r="L16" s="258" t="s">
        <v>80</v>
      </c>
      <c r="M16" s="387">
        <f>+R104</f>
        <v>2023</v>
      </c>
      <c r="N16" s="221"/>
      <c r="O16" s="221"/>
      <c r="P16" s="265"/>
      <c r="Q16" s="243"/>
      <c r="R16" s="279"/>
      <c r="S16" s="244"/>
    </row>
    <row r="17" spans="3:19" ht="12.5">
      <c r="C17" s="252" t="s">
        <v>8</v>
      </c>
      <c r="D17" s="253">
        <f>R107</f>
        <v>0.4823566899420933</v>
      </c>
      <c r="E17" s="388">
        <f>R108</f>
        <v>4.3662628997616977E-2</v>
      </c>
      <c r="F17" s="389">
        <f>E17*D17</f>
        <v>2.1060961197460183E-2</v>
      </c>
      <c r="G17" s="389"/>
      <c r="H17" s="238"/>
      <c r="I17" s="242"/>
      <c r="J17" s="256"/>
      <c r="K17" s="257"/>
      <c r="L17" s="264"/>
      <c r="M17" s="390" t="s">
        <v>255</v>
      </c>
      <c r="N17" s="391">
        <f>SUM('OKT.001:OKT.xyz - blank'!M88)</f>
        <v>40330314.923671976</v>
      </c>
      <c r="O17" s="391">
        <f>SUM('OKT.001:OKT.xyz - blank'!N88)</f>
        <v>40330314.923671976</v>
      </c>
      <c r="P17" s="392">
        <f>+O17-N17</f>
        <v>0</v>
      </c>
      <c r="Q17" s="257"/>
      <c r="R17" s="279"/>
      <c r="S17" s="244"/>
    </row>
    <row r="18" spans="3:19" ht="13" thickBot="1">
      <c r="C18" s="252" t="s">
        <v>12</v>
      </c>
      <c r="D18" s="253">
        <f>R109</f>
        <v>0</v>
      </c>
      <c r="E18" s="388">
        <f>R110</f>
        <v>0</v>
      </c>
      <c r="F18" s="389">
        <f>E18*D18</f>
        <v>0</v>
      </c>
      <c r="G18" s="389"/>
      <c r="H18" s="261"/>
      <c r="I18" s="261"/>
      <c r="J18" s="262"/>
      <c r="K18" s="263"/>
      <c r="L18" s="264"/>
      <c r="M18" s="393" t="s">
        <v>256</v>
      </c>
      <c r="N18" s="394">
        <f>SUM('OKT.001:OKT.xyz - blank'!M89)</f>
        <v>43806233.973688513</v>
      </c>
      <c r="O18" s="394">
        <f>SUM('OKT.001:OKT.xyz - blank'!N89)</f>
        <v>43806233.973688513</v>
      </c>
      <c r="P18" s="271">
        <f>+O18-N18</f>
        <v>0</v>
      </c>
      <c r="Q18" s="263"/>
      <c r="R18" s="279"/>
      <c r="S18" s="244"/>
    </row>
    <row r="19" spans="3:19" ht="12.5">
      <c r="C19" s="266" t="s">
        <v>13</v>
      </c>
      <c r="D19" s="253">
        <f>R111</f>
        <v>0.51764331005790676</v>
      </c>
      <c r="E19" s="388">
        <f>+F14</f>
        <v>0.105</v>
      </c>
      <c r="F19" s="395">
        <f>E19*D19</f>
        <v>5.4352547556080211E-2</v>
      </c>
      <c r="G19" s="395"/>
      <c r="H19" s="261"/>
      <c r="I19" s="261"/>
      <c r="J19" s="247"/>
      <c r="K19" s="263"/>
      <c r="L19" s="264"/>
      <c r="M19" s="396" t="str">
        <f>"True-up Adjustment For "&amp;M16&amp;""</f>
        <v>True-up Adjustment For 2023</v>
      </c>
      <c r="N19" s="397">
        <f>ROUND(N18-N17,0)</f>
        <v>3475919</v>
      </c>
      <c r="O19" s="397">
        <f>ROUND(+O18-O17,0)</f>
        <v>3475919</v>
      </c>
      <c r="P19" s="397">
        <f>ROUND(+P18-P17,0)</f>
        <v>0</v>
      </c>
      <c r="Q19" s="263"/>
      <c r="R19" s="279"/>
      <c r="S19" s="244"/>
    </row>
    <row r="20" spans="3:19" ht="12.5">
      <c r="C20" s="237"/>
      <c r="D20" s="238"/>
      <c r="E20" s="290" t="s">
        <v>15</v>
      </c>
      <c r="F20" s="389">
        <f>SUM(F17:F19)</f>
        <v>7.5413508753540387E-2</v>
      </c>
      <c r="G20" s="389"/>
      <c r="H20" s="398"/>
      <c r="I20" s="261"/>
      <c r="J20" s="262"/>
      <c r="K20" s="263"/>
      <c r="L20" s="264"/>
      <c r="M20" s="221"/>
      <c r="N20" s="273" t="str">
        <f>IF(N19=ROUND(SUM('OKT.001:OKT.xyz - blank'!M90),0),"","ERROR")</f>
        <v/>
      </c>
      <c r="O20" s="273" t="str">
        <f>IF(O19=ROUND(SUM('OKT.001:OKT.xyz - blank'!N90),0),"","ERROR")</f>
        <v/>
      </c>
      <c r="P20" s="273" t="str">
        <f>IF(P19=ROUND(SUM('OKT.001:OKT.xyz - blank'!O90),0),"","ERROR")</f>
        <v/>
      </c>
      <c r="Q20" s="263"/>
      <c r="R20" s="279"/>
      <c r="S20" s="244"/>
    </row>
    <row r="21" spans="3:19" ht="13" thickBot="1">
      <c r="D21" s="274"/>
      <c r="E21" s="274"/>
      <c r="F21" s="261"/>
      <c r="G21" s="261"/>
      <c r="H21" s="261"/>
      <c r="I21" s="261"/>
      <c r="J21" s="261"/>
      <c r="K21" s="275"/>
      <c r="L21" s="399"/>
      <c r="M21" s="400"/>
      <c r="N21" s="401"/>
      <c r="O21" s="402"/>
      <c r="P21" s="271"/>
      <c r="Q21" s="275"/>
      <c r="R21" s="279"/>
      <c r="S21" s="244"/>
    </row>
    <row r="22" spans="3:19" ht="15.5">
      <c r="C22" s="236" t="str">
        <f>"B.   Determine Return using 'R' with hypothetical "&amp;F13&amp;" basis point ROE increase for Identified Projects."</f>
        <v>B.   Determine Return using 'R' with hypothetical 0 basis point ROE increase for Identified Projects.</v>
      </c>
      <c r="D22" s="274"/>
      <c r="E22" s="274"/>
      <c r="F22" s="276"/>
      <c r="G22" s="276"/>
      <c r="H22" s="261"/>
      <c r="I22" s="238"/>
      <c r="J22" s="261"/>
      <c r="K22" s="275"/>
      <c r="L22" s="261"/>
      <c r="M22" s="261"/>
      <c r="N22" s="261"/>
      <c r="O22" s="261"/>
      <c r="P22" s="261"/>
      <c r="Q22" s="275"/>
      <c r="R22" s="279"/>
      <c r="S22" s="244"/>
    </row>
    <row r="23" spans="3:19" ht="13">
      <c r="C23" s="243"/>
      <c r="D23" s="274"/>
      <c r="E23" s="274"/>
      <c r="F23" s="275"/>
      <c r="G23" s="275"/>
      <c r="H23" s="275"/>
      <c r="I23" s="275"/>
      <c r="J23" s="275"/>
      <c r="K23" s="275"/>
      <c r="L23" s="175" t="s">
        <v>16</v>
      </c>
      <c r="M23" s="275"/>
      <c r="N23" s="275"/>
      <c r="O23" s="275"/>
      <c r="P23" s="275"/>
      <c r="Q23" s="275"/>
      <c r="R23" s="279"/>
      <c r="S23" s="244"/>
    </row>
    <row r="24" spans="3:19" ht="12.5">
      <c r="C24" s="237" t="str">
        <f>S112</f>
        <v xml:space="preserve">   Rate Base  (TCOS, ln 63)</v>
      </c>
      <c r="D24" s="238"/>
      <c r="E24" s="280">
        <f>R112</f>
        <v>1198140638.2045226</v>
      </c>
      <c r="F24" s="281"/>
      <c r="G24" s="281"/>
      <c r="H24" s="275"/>
      <c r="I24" s="275"/>
      <c r="J24" s="275"/>
      <c r="K24" s="275"/>
      <c r="L24" s="145" t="s">
        <v>17</v>
      </c>
      <c r="M24" s="275"/>
      <c r="N24" s="275"/>
      <c r="O24" s="275"/>
      <c r="P24" s="281"/>
      <c r="Q24" s="275"/>
      <c r="R24" s="279"/>
      <c r="S24" s="244"/>
    </row>
    <row r="25" spans="3:19" ht="12.5">
      <c r="C25" s="243" t="s">
        <v>18</v>
      </c>
      <c r="D25" s="240"/>
      <c r="E25" s="282">
        <f>F20</f>
        <v>7.5413508753540387E-2</v>
      </c>
      <c r="F25" s="275"/>
      <c r="G25" s="275"/>
      <c r="H25" s="275"/>
      <c r="I25" s="275"/>
      <c r="J25" s="275"/>
      <c r="K25" s="275"/>
      <c r="L25" s="275"/>
      <c r="M25" s="275"/>
      <c r="N25" s="275"/>
      <c r="O25" s="275"/>
      <c r="P25" s="275"/>
      <c r="Q25" s="275"/>
      <c r="R25" s="279"/>
      <c r="S25" s="244"/>
    </row>
    <row r="26" spans="3:19" ht="12.5">
      <c r="C26" s="284" t="s">
        <v>19</v>
      </c>
      <c r="D26" s="284"/>
      <c r="E26" s="262">
        <f>E24*E25</f>
        <v>90355989.507209226</v>
      </c>
      <c r="F26" s="275"/>
      <c r="G26" s="275"/>
      <c r="H26" s="275"/>
      <c r="I26" s="275"/>
      <c r="J26" s="263"/>
      <c r="K26" s="263"/>
      <c r="L26" s="263"/>
      <c r="M26" s="263"/>
      <c r="N26" s="263"/>
      <c r="O26" s="263"/>
      <c r="P26" s="275"/>
      <c r="Q26" s="263"/>
      <c r="R26" s="279"/>
      <c r="S26" s="244"/>
    </row>
    <row r="27" spans="3:19" ht="13" thickBot="1">
      <c r="C27" s="285"/>
      <c r="D27" s="242"/>
      <c r="E27" s="242"/>
      <c r="F27" s="275"/>
      <c r="G27" s="275"/>
      <c r="H27" s="275"/>
      <c r="I27" s="275"/>
      <c r="J27" s="263"/>
      <c r="K27" s="263"/>
      <c r="L27" s="263"/>
      <c r="M27" s="263"/>
      <c r="N27" s="403">
        <v>39804485.030792631</v>
      </c>
      <c r="O27" s="263"/>
      <c r="P27" s="275"/>
      <c r="Q27" s="263"/>
      <c r="R27" s="279"/>
      <c r="S27" s="244"/>
    </row>
    <row r="28" spans="3:19" ht="15.5">
      <c r="C28" s="236" t="str">
        <f>"C.   Determine Income Taxes using Return with hypothetical "&amp;F13&amp;" basis point ROE increase for Identified Projects."</f>
        <v>C.   Determine Income Taxes using Return with hypothetical 0 basis point ROE increase for Identified Projects.</v>
      </c>
      <c r="D28" s="286"/>
      <c r="E28" s="286"/>
      <c r="F28" s="287"/>
      <c r="G28" s="287"/>
      <c r="H28" s="287"/>
      <c r="I28" s="287"/>
      <c r="J28" s="288"/>
      <c r="K28" s="288"/>
      <c r="L28" s="288"/>
      <c r="M28" s="288"/>
      <c r="N28" s="288">
        <f>+N18</f>
        <v>43806233.973688513</v>
      </c>
      <c r="O28" s="404"/>
      <c r="P28" s="287"/>
      <c r="Q28" s="288"/>
      <c r="R28" s="279"/>
      <c r="S28" s="244"/>
    </row>
    <row r="29" spans="3:19" ht="12.5">
      <c r="C29" s="237"/>
      <c r="D29" s="242"/>
      <c r="E29" s="242"/>
      <c r="F29" s="275"/>
      <c r="G29" s="275"/>
      <c r="H29" s="275"/>
      <c r="I29" s="275"/>
      <c r="J29" s="263"/>
      <c r="K29" s="263"/>
      <c r="L29" s="263"/>
      <c r="M29" s="263"/>
      <c r="N29" s="405">
        <f>+N27-N28</f>
        <v>-4001748.9428958818</v>
      </c>
      <c r="O29" s="263"/>
      <c r="P29" s="275"/>
      <c r="Q29" s="263"/>
      <c r="R29" s="279"/>
      <c r="S29" s="244"/>
    </row>
    <row r="30" spans="3:19" ht="12.5">
      <c r="C30" s="243" t="s">
        <v>20</v>
      </c>
      <c r="D30" s="290"/>
      <c r="E30" s="291">
        <f>E26</f>
        <v>90355989.507209226</v>
      </c>
      <c r="F30" s="275"/>
      <c r="G30" s="275"/>
      <c r="H30" s="275"/>
      <c r="I30" s="275"/>
      <c r="J30" s="275"/>
      <c r="K30" s="275"/>
      <c r="L30" s="275"/>
      <c r="M30" s="275"/>
      <c r="N30" s="275"/>
      <c r="O30" s="275"/>
      <c r="P30" s="275"/>
      <c r="Q30" s="275"/>
      <c r="R30" s="279"/>
      <c r="S30" s="244"/>
    </row>
    <row r="31" spans="3:19" ht="12.5">
      <c r="C31" s="237" t="str">
        <f>S113</f>
        <v xml:space="preserve">   Tax Rate  (TCOS, ln 99)</v>
      </c>
      <c r="D31" s="290"/>
      <c r="E31" s="292">
        <f>R113</f>
        <v>0.24041499999999993</v>
      </c>
      <c r="F31" s="275"/>
      <c r="G31" s="275"/>
      <c r="H31" s="275"/>
      <c r="I31" s="275"/>
      <c r="J31" s="275"/>
      <c r="K31" s="275"/>
      <c r="L31" s="275"/>
      <c r="M31" s="275"/>
      <c r="N31" s="275"/>
      <c r="O31" s="275"/>
      <c r="P31" s="275"/>
      <c r="Q31" s="275"/>
      <c r="R31" s="279"/>
      <c r="S31" s="279"/>
    </row>
    <row r="32" spans="3:19" ht="12.5">
      <c r="C32" s="243" t="s">
        <v>21</v>
      </c>
      <c r="D32" s="293"/>
      <c r="E32" s="247">
        <f>IF(F17&gt;0,($E31/(1-$E31))*(1-$F17/$F20),0)</f>
        <v>0.22811609995212179</v>
      </c>
      <c r="F32" s="279"/>
      <c r="G32" s="279"/>
      <c r="H32" s="279"/>
      <c r="I32" s="295"/>
      <c r="J32" s="279"/>
      <c r="K32" s="279"/>
      <c r="L32" s="279"/>
      <c r="M32" s="279"/>
      <c r="N32" s="279"/>
      <c r="O32" s="279"/>
      <c r="P32" s="279"/>
      <c r="Q32" s="279"/>
      <c r="R32" s="279"/>
      <c r="S32" s="292"/>
    </row>
    <row r="33" spans="2:19" ht="12.5">
      <c r="C33" s="406" t="s">
        <v>22</v>
      </c>
      <c r="D33" s="407"/>
      <c r="E33" s="298">
        <f>E30*E32</f>
        <v>20611655.933699407</v>
      </c>
      <c r="F33" s="279"/>
      <c r="G33" s="279"/>
      <c r="H33" s="279"/>
      <c r="I33" s="295"/>
      <c r="J33" s="279"/>
      <c r="K33" s="279"/>
      <c r="L33" s="279"/>
      <c r="M33" s="279"/>
      <c r="N33" s="279"/>
      <c r="O33" s="279"/>
      <c r="P33" s="279"/>
      <c r="Q33" s="279"/>
      <c r="R33" s="279"/>
      <c r="S33" s="279"/>
    </row>
    <row r="34" spans="2:19" ht="15.5">
      <c r="C34" s="237" t="str">
        <f>S114</f>
        <v xml:space="preserve">   ITC Adjustment  (TCOS, ln 108)</v>
      </c>
      <c r="D34" s="301"/>
      <c r="E34" s="302">
        <f>R114</f>
        <v>0</v>
      </c>
      <c r="F34" s="279"/>
      <c r="G34" s="279"/>
      <c r="H34" s="279"/>
      <c r="I34" s="295"/>
      <c r="J34" s="279"/>
      <c r="K34" s="279"/>
      <c r="L34" s="279"/>
      <c r="M34" s="279"/>
      <c r="N34" s="351"/>
      <c r="O34" s="279"/>
      <c r="P34" s="279"/>
      <c r="Q34" s="279"/>
      <c r="R34" s="279"/>
      <c r="S34" s="279"/>
    </row>
    <row r="35" spans="2:19" ht="12.5">
      <c r="C35" s="408" t="s">
        <v>304</v>
      </c>
      <c r="D35" s="409"/>
      <c r="E35" s="410">
        <v>871276.53008375282</v>
      </c>
      <c r="F35" s="279"/>
      <c r="G35" s="279"/>
      <c r="H35" s="279"/>
      <c r="I35" s="295"/>
      <c r="J35" s="279"/>
      <c r="K35" s="279"/>
      <c r="L35" s="279"/>
      <c r="M35" s="279"/>
      <c r="N35" s="279"/>
      <c r="O35" s="279"/>
      <c r="P35" s="279"/>
      <c r="Q35" s="279"/>
      <c r="R35" s="279"/>
      <c r="S35" s="279"/>
    </row>
    <row r="36" spans="2:19" ht="15.5">
      <c r="C36" s="408" t="s">
        <v>305</v>
      </c>
      <c r="D36" s="301"/>
      <c r="E36" s="410">
        <v>237532.97391873723</v>
      </c>
      <c r="F36" s="301"/>
      <c r="G36" s="301"/>
      <c r="H36" s="301"/>
      <c r="I36" s="301"/>
      <c r="J36" s="301"/>
      <c r="K36" s="301"/>
      <c r="L36" s="301"/>
      <c r="M36" s="301"/>
      <c r="N36" s="301"/>
      <c r="O36" s="301"/>
      <c r="P36" s="303"/>
      <c r="Q36" s="301"/>
      <c r="R36" s="279"/>
      <c r="S36" s="279"/>
    </row>
    <row r="37" spans="2:19" ht="15.5">
      <c r="C37" s="406" t="s">
        <v>23</v>
      </c>
      <c r="D37" s="411"/>
      <c r="E37" s="412">
        <f>SUM(E33:E36)</f>
        <v>21720465.437701896</v>
      </c>
      <c r="F37" s="301"/>
      <c r="G37" s="301"/>
      <c r="H37" s="301"/>
      <c r="I37" s="301"/>
      <c r="J37" s="301"/>
      <c r="K37" s="301"/>
      <c r="L37" s="301"/>
      <c r="M37" s="301"/>
      <c r="N37" s="301"/>
      <c r="O37" s="301"/>
      <c r="P37" s="304"/>
      <c r="Q37" s="301"/>
      <c r="R37" s="279"/>
      <c r="S37" s="244"/>
    </row>
    <row r="38" spans="2:19" ht="12.75" customHeight="1">
      <c r="C38" s="305"/>
      <c r="D38" s="301"/>
      <c r="E38" s="301"/>
      <c r="F38" s="301"/>
      <c r="G38" s="301"/>
      <c r="H38" s="301"/>
      <c r="I38" s="301"/>
      <c r="J38" s="301"/>
      <c r="K38" s="301"/>
      <c r="L38" s="301"/>
      <c r="M38" s="301"/>
      <c r="N38" s="301"/>
      <c r="O38" s="301"/>
      <c r="P38" s="304"/>
      <c r="Q38" s="301"/>
      <c r="R38" s="279"/>
      <c r="S38" s="244"/>
    </row>
    <row r="39" spans="2:19" ht="18">
      <c r="B39" s="234" t="s">
        <v>24</v>
      </c>
      <c r="C39" s="306" t="str">
        <f>"Calculate Net Plant Carrying Charge Rate (Fixed Charge Rate or FCR) with hypothetical "&amp;F13&amp;" basis point"</f>
        <v>Calculate Net Plant Carrying Charge Rate (Fixed Charge Rate or FCR) with hypothetical 0 basis point</v>
      </c>
      <c r="D39" s="301"/>
      <c r="E39" s="301"/>
      <c r="F39" s="301"/>
      <c r="G39" s="301"/>
      <c r="H39" s="301"/>
      <c r="I39" s="301"/>
      <c r="J39" s="301"/>
      <c r="K39" s="301"/>
      <c r="L39" s="301"/>
      <c r="M39" s="301"/>
      <c r="N39" s="301"/>
      <c r="O39" s="301"/>
      <c r="P39" s="304"/>
      <c r="Q39" s="301"/>
      <c r="R39" s="279"/>
      <c r="S39" s="244"/>
    </row>
    <row r="40" spans="2:19" ht="18.75" customHeight="1">
      <c r="B40" s="234"/>
      <c r="C40" s="306" t="str">
        <f>"ROE increase."</f>
        <v>ROE increase.</v>
      </c>
      <c r="D40" s="301"/>
      <c r="E40" s="301"/>
      <c r="F40" s="301"/>
      <c r="G40" s="301"/>
      <c r="H40" s="301"/>
      <c r="I40" s="301"/>
      <c r="J40" s="301"/>
      <c r="K40" s="301"/>
      <c r="L40" s="301"/>
      <c r="M40" s="301"/>
      <c r="N40" s="301"/>
      <c r="O40" s="301"/>
      <c r="P40" s="304"/>
      <c r="Q40" s="301"/>
      <c r="R40" s="279"/>
      <c r="S40" s="244"/>
    </row>
    <row r="41" spans="2:19" ht="12.75" customHeight="1">
      <c r="C41" s="305"/>
      <c r="D41" s="301"/>
      <c r="E41" s="301"/>
      <c r="F41" s="301"/>
      <c r="G41" s="301"/>
      <c r="H41" s="301"/>
      <c r="I41" s="301"/>
      <c r="J41" s="301"/>
      <c r="K41" s="301"/>
      <c r="L41" s="301"/>
      <c r="M41" s="301"/>
      <c r="N41" s="301"/>
      <c r="O41" s="301"/>
      <c r="P41" s="304"/>
      <c r="Q41" s="301"/>
      <c r="R41" s="279"/>
      <c r="S41" s="244"/>
    </row>
    <row r="42" spans="2:19" ht="15.5">
      <c r="B42" s="244"/>
      <c r="C42" s="307" t="s">
        <v>240</v>
      </c>
      <c r="D42" s="308"/>
      <c r="E42" s="308"/>
      <c r="F42" s="308"/>
      <c r="G42" s="308"/>
      <c r="H42" s="308"/>
      <c r="I42" s="308"/>
      <c r="J42" s="308"/>
      <c r="K42" s="308"/>
      <c r="L42" s="308"/>
      <c r="M42" s="308"/>
      <c r="N42" s="308"/>
      <c r="O42" s="308"/>
      <c r="P42" s="302"/>
      <c r="Q42" s="308"/>
      <c r="R42" s="279"/>
      <c r="S42" s="244"/>
    </row>
    <row r="43" spans="2:19" ht="15.5">
      <c r="B43" s="244"/>
      <c r="C43" s="307"/>
      <c r="D43" s="308"/>
      <c r="E43" s="308"/>
      <c r="F43" s="308"/>
      <c r="G43" s="308"/>
      <c r="H43" s="308"/>
      <c r="I43" s="308"/>
      <c r="J43" s="308"/>
      <c r="K43" s="308"/>
      <c r="L43" s="308"/>
      <c r="M43" s="308"/>
      <c r="N43" s="308"/>
      <c r="O43" s="308"/>
      <c r="P43" s="302"/>
      <c r="Q43" s="308"/>
      <c r="R43" s="279"/>
      <c r="S43" s="244"/>
    </row>
    <row r="44" spans="2:19" ht="12.75" customHeight="1">
      <c r="B44" s="244"/>
      <c r="C44" s="237" t="str">
        <f>S117</f>
        <v xml:space="preserve">   Net Revenue Requirement  (TCOS, ln 117)</v>
      </c>
      <c r="D44" s="308"/>
      <c r="E44" s="308"/>
      <c r="F44" s="302">
        <f>R117</f>
        <v>190701592.25723991</v>
      </c>
      <c r="G44" s="302"/>
      <c r="H44" s="308"/>
      <c r="I44" s="308"/>
      <c r="J44" s="308"/>
      <c r="K44" s="308"/>
      <c r="L44" s="308"/>
      <c r="M44" s="308"/>
      <c r="N44" s="308"/>
      <c r="O44" s="308"/>
      <c r="P44" s="302"/>
      <c r="Q44" s="308"/>
      <c r="R44" s="279"/>
      <c r="S44" s="244"/>
    </row>
    <row r="45" spans="2:19" ht="12.5">
      <c r="B45" s="244"/>
      <c r="C45" s="237" t="str">
        <f>S118</f>
        <v xml:space="preserve">   Return  (TCOS, ln 112)</v>
      </c>
      <c r="D45" s="308"/>
      <c r="E45" s="308"/>
      <c r="F45" s="302">
        <f>R118</f>
        <v>90355989.507209226</v>
      </c>
      <c r="G45" s="309"/>
      <c r="H45" s="310"/>
      <c r="I45" s="310"/>
      <c r="J45" s="310"/>
      <c r="K45" s="310"/>
      <c r="L45" s="310"/>
      <c r="M45" s="310"/>
      <c r="N45" s="310"/>
      <c r="O45" s="310"/>
      <c r="P45" s="302"/>
      <c r="Q45" s="310"/>
      <c r="R45" s="279"/>
      <c r="S45" s="244"/>
    </row>
    <row r="46" spans="2:19" ht="12.5">
      <c r="B46" s="244"/>
      <c r="C46" s="237" t="str">
        <f>S119</f>
        <v xml:space="preserve">   Income Taxes  (TCOS, ln 111)</v>
      </c>
      <c r="D46" s="308"/>
      <c r="E46" s="308"/>
      <c r="F46" s="302">
        <f>R119</f>
        <v>20936722.580030676</v>
      </c>
      <c r="G46" s="302"/>
      <c r="H46" s="308"/>
      <c r="I46" s="308"/>
      <c r="J46" s="311"/>
      <c r="K46" s="311"/>
      <c r="L46" s="311"/>
      <c r="M46" s="311"/>
      <c r="N46" s="311"/>
      <c r="O46" s="311"/>
      <c r="P46" s="308"/>
      <c r="Q46" s="311"/>
      <c r="R46" s="279"/>
      <c r="S46" s="244"/>
    </row>
    <row r="47" spans="2:19" ht="12.5">
      <c r="B47" s="244"/>
      <c r="C47" s="237" t="str">
        <f>S120</f>
        <v xml:space="preserve">  Gross Margin Taxes  (TCOS, ln 116)</v>
      </c>
      <c r="D47" s="308"/>
      <c r="E47" s="308"/>
      <c r="F47" s="313">
        <f>R120</f>
        <v>0</v>
      </c>
      <c r="G47" s="302"/>
      <c r="H47" s="308"/>
      <c r="I47" s="308"/>
      <c r="J47" s="311"/>
      <c r="K47" s="311"/>
      <c r="L47" s="311"/>
      <c r="M47" s="311"/>
      <c r="N47" s="311"/>
      <c r="O47" s="311"/>
      <c r="P47" s="308"/>
      <c r="Q47" s="311"/>
      <c r="R47" s="279"/>
      <c r="S47" s="244"/>
    </row>
    <row r="48" spans="2:19" ht="12.5">
      <c r="B48" s="244"/>
      <c r="C48" s="249" t="s">
        <v>25</v>
      </c>
      <c r="D48" s="308"/>
      <c r="E48" s="308"/>
      <c r="F48" s="309">
        <f>F44-F45-F46-F47</f>
        <v>79408880.170000002</v>
      </c>
      <c r="G48" s="309"/>
      <c r="H48" s="314"/>
      <c r="I48" s="308"/>
      <c r="J48" s="314"/>
      <c r="K48" s="314"/>
      <c r="L48" s="314"/>
      <c r="M48" s="314"/>
      <c r="N48" s="314"/>
      <c r="O48" s="314"/>
      <c r="P48" s="314"/>
      <c r="Q48" s="314"/>
      <c r="R48" s="279"/>
      <c r="S48" s="244"/>
    </row>
    <row r="49" spans="2:19" ht="12.5">
      <c r="B49" s="244"/>
      <c r="C49" s="312"/>
      <c r="D49" s="308"/>
      <c r="E49" s="308"/>
      <c r="F49" s="302"/>
      <c r="G49" s="302"/>
      <c r="H49" s="315"/>
      <c r="I49" s="316"/>
      <c r="J49" s="316"/>
      <c r="K49" s="316"/>
      <c r="L49" s="316"/>
      <c r="M49" s="316"/>
      <c r="N49" s="316"/>
      <c r="O49" s="316"/>
      <c r="P49" s="316"/>
      <c r="Q49" s="316"/>
      <c r="R49" s="279"/>
      <c r="S49" s="244"/>
    </row>
    <row r="50" spans="2:19" ht="15.5">
      <c r="B50" s="244"/>
      <c r="C50" s="236" t="str">
        <f>"B.   Determine Net Revenue Requirement with hypothetical "&amp;F13&amp;" basis point increase in ROE."</f>
        <v>B.   Determine Net Revenue Requirement with hypothetical 0 basis point increase in ROE.</v>
      </c>
      <c r="D50" s="317"/>
      <c r="E50" s="317"/>
      <c r="F50" s="302"/>
      <c r="G50" s="302"/>
      <c r="H50" s="315"/>
      <c r="I50" s="316"/>
      <c r="J50" s="316"/>
      <c r="K50" s="316"/>
      <c r="L50" s="316"/>
      <c r="M50" s="316"/>
      <c r="N50" s="316"/>
      <c r="O50" s="316"/>
      <c r="P50" s="316"/>
      <c r="Q50" s="316"/>
      <c r="R50" s="279"/>
      <c r="S50" s="244"/>
    </row>
    <row r="51" spans="2:19" ht="12.5">
      <c r="B51" s="244"/>
      <c r="C51" s="312"/>
      <c r="D51" s="317"/>
      <c r="E51" s="317"/>
      <c r="F51" s="302"/>
      <c r="G51" s="302"/>
      <c r="H51" s="315"/>
      <c r="I51" s="316"/>
      <c r="J51" s="316"/>
      <c r="K51" s="316"/>
      <c r="L51" s="316"/>
      <c r="M51" s="316"/>
      <c r="N51" s="316"/>
      <c r="O51" s="316"/>
      <c r="P51" s="316"/>
      <c r="Q51" s="316"/>
      <c r="R51" s="279"/>
      <c r="S51" s="244"/>
    </row>
    <row r="52" spans="2:19" ht="13">
      <c r="B52" s="244"/>
      <c r="C52" s="312" t="str">
        <f>C48</f>
        <v xml:space="preserve">   Net Revenue Requirement, Less Return and Taxes</v>
      </c>
      <c r="D52" s="317"/>
      <c r="E52" s="317"/>
      <c r="F52" s="302">
        <f>F48</f>
        <v>79408880.170000002</v>
      </c>
      <c r="G52" s="302"/>
      <c r="H52" s="308"/>
      <c r="I52" s="308"/>
      <c r="J52" s="308"/>
      <c r="K52" s="308"/>
      <c r="L52" s="308"/>
      <c r="M52" s="308"/>
      <c r="N52" s="308"/>
      <c r="O52" s="308"/>
      <c r="P52" s="320"/>
      <c r="Q52" s="308"/>
      <c r="R52" s="279"/>
      <c r="S52" s="244"/>
    </row>
    <row r="53" spans="2:19" ht="13">
      <c r="B53" s="244"/>
      <c r="C53" s="243" t="s">
        <v>92</v>
      </c>
      <c r="D53" s="322"/>
      <c r="E53" s="249"/>
      <c r="F53" s="323">
        <f>E26</f>
        <v>90355989.507209226</v>
      </c>
      <c r="G53" s="323"/>
      <c r="H53" s="249"/>
      <c r="I53" s="324"/>
      <c r="J53" s="249"/>
      <c r="K53" s="249"/>
      <c r="L53" s="249"/>
      <c r="M53" s="249"/>
      <c r="N53" s="249"/>
      <c r="O53" s="249"/>
      <c r="P53" s="249"/>
      <c r="Q53" s="249"/>
      <c r="R53" s="279"/>
      <c r="S53" s="244"/>
    </row>
    <row r="54" spans="2:19" ht="12.75" customHeight="1">
      <c r="B54" s="244"/>
      <c r="C54" s="237" t="s">
        <v>26</v>
      </c>
      <c r="D54" s="308"/>
      <c r="E54" s="308"/>
      <c r="F54" s="413">
        <f>E37</f>
        <v>21720465.437701896</v>
      </c>
      <c r="G54" s="325"/>
      <c r="H54" s="244"/>
      <c r="I54" s="326"/>
      <c r="J54" s="244"/>
      <c r="K54" s="279"/>
      <c r="L54" s="244"/>
      <c r="M54" s="244"/>
      <c r="N54" s="244"/>
      <c r="O54" s="244"/>
      <c r="P54" s="244"/>
      <c r="Q54" s="279"/>
      <c r="R54" s="279"/>
      <c r="S54" s="244"/>
    </row>
    <row r="55" spans="2:19" ht="12.5">
      <c r="B55" s="244"/>
      <c r="C55" s="249" t="str">
        <f>"   Net Revenue Requirement, with "&amp;F13&amp;" Basis Point ROE increase"</f>
        <v xml:space="preserve">   Net Revenue Requirement, with 0 Basis Point ROE increase</v>
      </c>
      <c r="D55" s="293"/>
      <c r="E55" s="244"/>
      <c r="F55" s="327">
        <f>SUM(F52:F54)</f>
        <v>191485335.11491114</v>
      </c>
      <c r="G55" s="327"/>
      <c r="H55" s="244"/>
      <c r="I55" s="326"/>
      <c r="J55" s="244"/>
      <c r="K55" s="279"/>
      <c r="L55" s="244"/>
      <c r="M55" s="244"/>
      <c r="N55" s="244"/>
      <c r="O55" s="244"/>
      <c r="P55" s="244"/>
      <c r="Q55" s="279"/>
      <c r="R55" s="279"/>
      <c r="S55" s="244"/>
    </row>
    <row r="56" spans="2:19" ht="12.5">
      <c r="B56" s="244"/>
      <c r="C56" s="300" t="str">
        <f>"   Gross Margin Tax with "&amp;F13&amp;" Basis Point ROE Increase (II C. below)"</f>
        <v xml:space="preserve">   Gross Margin Tax with 0 Basis Point ROE Increase (II C. below)</v>
      </c>
      <c r="D56" s="328"/>
      <c r="E56" s="328"/>
      <c r="F56" s="329">
        <f>+F71</f>
        <v>0</v>
      </c>
      <c r="G56" s="323"/>
      <c r="H56" s="244"/>
      <c r="I56" s="326"/>
      <c r="J56" s="244"/>
      <c r="K56" s="279"/>
      <c r="L56" s="244"/>
      <c r="M56" s="244"/>
      <c r="N56" s="244"/>
      <c r="O56" s="244"/>
      <c r="P56" s="244"/>
      <c r="Q56" s="279"/>
      <c r="R56" s="279"/>
      <c r="S56" s="244"/>
    </row>
    <row r="57" spans="2:19" ht="12.5">
      <c r="B57" s="244"/>
      <c r="C57" s="249" t="s">
        <v>27</v>
      </c>
      <c r="D57" s="293"/>
      <c r="E57" s="244"/>
      <c r="F57" s="299">
        <f>+F55+F56</f>
        <v>191485335.11491114</v>
      </c>
      <c r="G57" s="299"/>
      <c r="H57" s="244"/>
      <c r="I57" s="326"/>
      <c r="J57" s="244"/>
      <c r="K57" s="279"/>
      <c r="L57" s="244"/>
      <c r="M57" s="244"/>
      <c r="N57" s="244"/>
      <c r="O57" s="244"/>
      <c r="P57" s="244"/>
      <c r="Q57" s="279"/>
      <c r="R57" s="279"/>
      <c r="S57" s="244"/>
    </row>
    <row r="58" spans="2:19" ht="12.5">
      <c r="B58" s="244"/>
      <c r="C58" s="237" t="str">
        <f>S121</f>
        <v xml:space="preserve">   Less: Depreciation  (TCOS, ln 86)</v>
      </c>
      <c r="D58" s="293"/>
      <c r="E58" s="244"/>
      <c r="F58" s="330">
        <f>R121</f>
        <v>47972313</v>
      </c>
      <c r="G58" s="330"/>
      <c r="H58" s="244"/>
      <c r="I58" s="326"/>
      <c r="J58" s="244"/>
      <c r="K58" s="279"/>
      <c r="L58" s="244"/>
      <c r="M58" s="244"/>
      <c r="N58" s="244"/>
      <c r="O58" s="244"/>
      <c r="P58" s="244"/>
      <c r="Q58" s="279"/>
      <c r="R58" s="279"/>
      <c r="S58" s="244"/>
    </row>
    <row r="59" spans="2:19" ht="12.5">
      <c r="B59" s="244"/>
      <c r="C59" s="249" t="str">
        <f>"   Net Rev. Req, w/"&amp;F13&amp;" Basis Point ROE increase, less Depreciation"</f>
        <v xml:space="preserve">   Net Rev. Req, w/0 Basis Point ROE increase, less Depreciation</v>
      </c>
      <c r="D59" s="293"/>
      <c r="E59" s="244"/>
      <c r="F59" s="327">
        <f>F57-F58</f>
        <v>143513022.11491114</v>
      </c>
      <c r="G59" s="327"/>
      <c r="H59" s="244"/>
      <c r="I59" s="326"/>
      <c r="J59" s="244"/>
      <c r="K59" s="279"/>
      <c r="L59" s="244"/>
      <c r="M59" s="244"/>
      <c r="N59" s="244"/>
      <c r="O59" s="244"/>
      <c r="P59" s="244"/>
      <c r="Q59" s="279"/>
      <c r="R59" s="279"/>
      <c r="S59" s="244"/>
    </row>
    <row r="60" spans="2:19" ht="12.5">
      <c r="B60" s="244"/>
      <c r="C60" s="244"/>
      <c r="D60" s="293"/>
      <c r="E60" s="244"/>
      <c r="F60" s="244"/>
      <c r="G60" s="244"/>
      <c r="H60" s="244"/>
      <c r="I60" s="326"/>
      <c r="J60" s="244"/>
      <c r="K60" s="279"/>
      <c r="L60" s="244"/>
      <c r="M60" s="244"/>
      <c r="N60" s="244"/>
      <c r="O60" s="244"/>
      <c r="P60" s="244"/>
      <c r="Q60" s="279"/>
      <c r="R60" s="279"/>
      <c r="S60" s="244"/>
    </row>
    <row r="61" spans="2:19" ht="15.5">
      <c r="B61" s="244"/>
      <c r="C61" s="307" t="str">
        <f>"C.   Determine Gross Margin Tax with hypothetical "&amp;F13&amp;" basis point increase in ROE."</f>
        <v>C.   Determine Gross Margin Tax with hypothetical 0 basis point increase in ROE.</v>
      </c>
      <c r="D61" s="331"/>
      <c r="E61" s="331"/>
      <c r="F61" s="332"/>
      <c r="G61" s="332"/>
      <c r="H61" s="245"/>
      <c r="I61" s="326"/>
      <c r="J61" s="244"/>
      <c r="K61" s="279"/>
      <c r="L61" s="244"/>
      <c r="M61" s="244"/>
      <c r="N61" s="244"/>
      <c r="O61" s="244"/>
      <c r="P61" s="244"/>
      <c r="Q61" s="279"/>
      <c r="R61" s="279"/>
      <c r="S61" s="244"/>
    </row>
    <row r="62" spans="2:19" ht="12.5">
      <c r="B62" s="244"/>
      <c r="C62" s="300" t="str">
        <f>"   Net Revenue Requirement before Gross Margin Taxes, with "&amp;F13&amp;" "</f>
        <v xml:space="preserve">   Net Revenue Requirement before Gross Margin Taxes, with 0 </v>
      </c>
      <c r="D62" s="331"/>
      <c r="E62" s="331"/>
      <c r="F62" s="332">
        <f>+F55</f>
        <v>191485335.11491114</v>
      </c>
      <c r="G62" s="332"/>
      <c r="H62" s="245"/>
      <c r="I62" s="326"/>
      <c r="J62" s="244"/>
      <c r="K62" s="279"/>
      <c r="L62" s="244"/>
      <c r="M62" s="244"/>
      <c r="N62" s="244"/>
      <c r="O62" s="244"/>
      <c r="P62" s="244"/>
      <c r="Q62" s="279"/>
      <c r="R62" s="279"/>
      <c r="S62" s="244"/>
    </row>
    <row r="63" spans="2:19" ht="12.5">
      <c r="B63" s="244"/>
      <c r="C63" s="300" t="s">
        <v>28</v>
      </c>
      <c r="D63" s="331"/>
      <c r="E63" s="331"/>
      <c r="F63" s="332"/>
      <c r="G63" s="332"/>
      <c r="H63" s="245"/>
      <c r="I63" s="326"/>
      <c r="J63" s="244"/>
      <c r="K63" s="279"/>
      <c r="L63" s="244"/>
      <c r="M63" s="244"/>
      <c r="N63" s="244"/>
      <c r="O63" s="244"/>
      <c r="P63" s="244"/>
      <c r="Q63" s="279"/>
      <c r="R63" s="279"/>
      <c r="S63" s="244"/>
    </row>
    <row r="64" spans="2:19" ht="12.5">
      <c r="B64" s="244"/>
      <c r="C64" s="249" t="str">
        <f>S120</f>
        <v xml:space="preserve">  Gross Margin Taxes  (TCOS, ln 116)</v>
      </c>
      <c r="D64" s="334"/>
      <c r="E64" s="245"/>
      <c r="F64" s="335">
        <f>R120</f>
        <v>0</v>
      </c>
      <c r="G64" s="414"/>
      <c r="H64" s="245"/>
      <c r="I64" s="326"/>
      <c r="J64" s="244"/>
      <c r="K64" s="279"/>
      <c r="L64" s="244"/>
      <c r="M64" s="244"/>
      <c r="N64" s="244"/>
      <c r="O64" s="244"/>
      <c r="P64" s="244"/>
      <c r="Q64" s="279"/>
      <c r="R64" s="279"/>
      <c r="S64" s="244"/>
    </row>
    <row r="65" spans="2:19" ht="12.5">
      <c r="B65" s="244"/>
      <c r="C65" s="249" t="s">
        <v>29</v>
      </c>
      <c r="D65" s="334"/>
      <c r="E65" s="245"/>
      <c r="F65" s="332">
        <f>+F64*F62</f>
        <v>0</v>
      </c>
      <c r="G65" s="332"/>
      <c r="H65" s="245"/>
      <c r="I65" s="326"/>
      <c r="J65" s="244"/>
      <c r="K65" s="279"/>
      <c r="L65" s="244"/>
      <c r="M65" s="244"/>
      <c r="N65" s="244"/>
      <c r="O65" s="244"/>
      <c r="P65" s="244"/>
      <c r="Q65" s="279"/>
      <c r="R65" s="279"/>
      <c r="S65" s="244"/>
    </row>
    <row r="66" spans="2:19" ht="12.5">
      <c r="B66" s="244"/>
      <c r="C66" s="249" t="str">
        <f>+'OKT.WS.F.BPU.ATRR.Projected'!C64</f>
        <v xml:space="preserve">       Taxable Percentage of Revenue (22%)</v>
      </c>
      <c r="D66" s="334"/>
      <c r="E66" s="245"/>
      <c r="F66" s="336">
        <f>+'OKT.WS.F.BPU.ATRR.Projected'!F64</f>
        <v>0.22</v>
      </c>
      <c r="G66" s="415"/>
      <c r="H66" s="245"/>
      <c r="I66" s="326"/>
      <c r="J66" s="244"/>
      <c r="K66" s="279"/>
      <c r="L66" s="244"/>
      <c r="M66" s="244"/>
      <c r="N66" s="244"/>
      <c r="O66" s="244"/>
      <c r="P66" s="244"/>
      <c r="Q66" s="279"/>
      <c r="R66" s="279"/>
      <c r="S66" s="244"/>
    </row>
    <row r="67" spans="2:19" ht="12.5">
      <c r="B67" s="244"/>
      <c r="C67" s="249" t="s">
        <v>30</v>
      </c>
      <c r="D67" s="334"/>
      <c r="E67" s="245"/>
      <c r="F67" s="332">
        <f>+F65*F66</f>
        <v>0</v>
      </c>
      <c r="G67" s="332"/>
      <c r="H67" s="245"/>
      <c r="I67" s="326"/>
      <c r="J67" s="244"/>
      <c r="K67" s="279"/>
      <c r="L67" s="244"/>
      <c r="M67" s="244"/>
      <c r="N67" s="244"/>
      <c r="O67" s="244"/>
      <c r="P67" s="244"/>
      <c r="Q67" s="279"/>
      <c r="R67" s="279"/>
      <c r="S67" s="244"/>
    </row>
    <row r="68" spans="2:19" ht="12.5">
      <c r="B68" s="244"/>
      <c r="C68" s="249" t="s">
        <v>31</v>
      </c>
      <c r="D68" s="334"/>
      <c r="E68" s="245"/>
      <c r="F68" s="336">
        <v>0.01</v>
      </c>
      <c r="G68" s="415"/>
      <c r="H68" s="245"/>
      <c r="I68" s="326"/>
      <c r="J68" s="244"/>
      <c r="K68" s="279"/>
      <c r="L68" s="244"/>
      <c r="M68" s="244"/>
      <c r="N68" s="244"/>
      <c r="O68" s="244"/>
      <c r="P68" s="244"/>
      <c r="Q68" s="279"/>
      <c r="R68" s="279"/>
      <c r="S68" s="244"/>
    </row>
    <row r="69" spans="2:19" ht="12.5">
      <c r="B69" s="244"/>
      <c r="C69" s="249" t="s">
        <v>32</v>
      </c>
      <c r="D69" s="334"/>
      <c r="E69" s="245"/>
      <c r="F69" s="332">
        <f>+F67*F68</f>
        <v>0</v>
      </c>
      <c r="G69" s="332"/>
      <c r="H69" s="245"/>
      <c r="I69" s="326"/>
      <c r="J69" s="244"/>
      <c r="K69" s="279"/>
      <c r="L69" s="244"/>
      <c r="M69" s="244"/>
      <c r="N69" s="244"/>
      <c r="O69" s="244"/>
      <c r="P69" s="244"/>
      <c r="Q69" s="279"/>
      <c r="R69" s="279"/>
      <c r="S69" s="244"/>
    </row>
    <row r="70" spans="2:19" ht="12.5">
      <c r="B70" s="244"/>
      <c r="C70" s="249" t="s">
        <v>33</v>
      </c>
      <c r="D70" s="334"/>
      <c r="E70" s="245"/>
      <c r="F70" s="337">
        <f>+ROUND((F69*F66*F64)/(1-F68)*F68,0)</f>
        <v>0</v>
      </c>
      <c r="G70" s="416"/>
      <c r="H70" s="245"/>
      <c r="I70" s="326"/>
      <c r="J70" s="244"/>
      <c r="K70" s="279"/>
      <c r="L70" s="244"/>
      <c r="M70" s="244"/>
      <c r="N70" s="244"/>
      <c r="O70" s="244"/>
      <c r="P70" s="244"/>
      <c r="Q70" s="279"/>
      <c r="R70" s="279"/>
      <c r="S70" s="244"/>
    </row>
    <row r="71" spans="2:19" ht="12.5">
      <c r="B71" s="244"/>
      <c r="C71" s="249" t="s">
        <v>34</v>
      </c>
      <c r="D71" s="334"/>
      <c r="E71" s="245"/>
      <c r="F71" s="332">
        <f>+F69+F70</f>
        <v>0</v>
      </c>
      <c r="G71" s="332"/>
      <c r="H71" s="245"/>
      <c r="I71" s="326"/>
      <c r="J71" s="244"/>
      <c r="K71" s="279"/>
      <c r="L71" s="244"/>
      <c r="M71" s="244"/>
      <c r="N71" s="244"/>
      <c r="O71" s="244"/>
      <c r="P71" s="244"/>
      <c r="Q71" s="279"/>
      <c r="R71" s="279"/>
      <c r="S71" s="244"/>
    </row>
    <row r="72" spans="2:19" ht="12.5">
      <c r="B72" s="244"/>
      <c r="C72" s="244"/>
      <c r="D72" s="293"/>
      <c r="E72" s="244"/>
      <c r="F72" s="244"/>
      <c r="G72" s="244"/>
      <c r="H72" s="244"/>
      <c r="I72" s="326"/>
      <c r="J72" s="244"/>
      <c r="K72" s="279"/>
      <c r="L72" s="244"/>
      <c r="M72" s="244"/>
      <c r="N72" s="244"/>
      <c r="O72" s="244"/>
      <c r="P72" s="244"/>
      <c r="Q72" s="279"/>
      <c r="R72" s="279"/>
      <c r="S72" s="244"/>
    </row>
    <row r="73" spans="2:19" ht="15.5">
      <c r="B73" s="244"/>
      <c r="C73" s="236" t="str">
        <f>"D.   Determine FCR with hypothetical "&amp;F13&amp;" basis point ROE increase."</f>
        <v>D.   Determine FCR with hypothetical 0 basis point ROE increase.</v>
      </c>
      <c r="D73" s="293"/>
      <c r="E73" s="244"/>
      <c r="F73" s="244"/>
      <c r="G73" s="244"/>
      <c r="H73" s="244"/>
      <c r="I73" s="213"/>
      <c r="J73" s="244"/>
      <c r="K73" s="279"/>
      <c r="L73" s="244"/>
      <c r="M73" s="244"/>
      <c r="N73" s="244"/>
      <c r="O73" s="244"/>
      <c r="P73" s="244"/>
      <c r="Q73" s="279"/>
      <c r="R73" s="279"/>
      <c r="S73" s="244"/>
    </row>
    <row r="74" spans="2:19" ht="12.5">
      <c r="B74" s="244"/>
      <c r="C74" s="244"/>
      <c r="D74" s="293"/>
      <c r="E74" s="244"/>
      <c r="F74" s="244"/>
      <c r="G74" s="244"/>
      <c r="H74" s="244"/>
      <c r="I74" s="326"/>
      <c r="J74" s="244"/>
      <c r="K74" s="279"/>
      <c r="L74" s="244"/>
      <c r="M74" s="244"/>
      <c r="N74" s="244"/>
      <c r="O74" s="244"/>
      <c r="P74" s="244"/>
      <c r="Q74" s="279"/>
      <c r="R74" s="279"/>
      <c r="S74" s="244"/>
    </row>
    <row r="75" spans="2:19" ht="12.5">
      <c r="B75" s="244"/>
      <c r="C75" s="312" t="str">
        <f>S123</f>
        <v xml:space="preserve">   Net Transmission Plant  (TCOS, ln 37)</v>
      </c>
      <c r="D75" s="293"/>
      <c r="E75" s="244"/>
      <c r="F75" s="327">
        <f>R123</f>
        <v>1301868678.5746148</v>
      </c>
      <c r="G75" s="327"/>
      <c r="I75" s="213"/>
      <c r="J75" s="244"/>
      <c r="K75" s="279"/>
      <c r="L75" s="244"/>
      <c r="M75" s="244"/>
      <c r="N75" s="244"/>
      <c r="O75" s="244"/>
      <c r="P75" s="244"/>
      <c r="Q75" s="279"/>
      <c r="R75" s="279"/>
      <c r="S75" s="244"/>
    </row>
    <row r="76" spans="2:19" ht="14">
      <c r="B76" s="244"/>
      <c r="C76" s="249" t="str">
        <f>"   Net Revenue Requirement, with "&amp;F13&amp;" Basis Point ROE increase"</f>
        <v xml:space="preserve">   Net Revenue Requirement, with 0 Basis Point ROE increase</v>
      </c>
      <c r="D76" s="293"/>
      <c r="E76" s="244"/>
      <c r="F76" s="417">
        <f>+F57</f>
        <v>191485335.11491114</v>
      </c>
      <c r="G76" s="417"/>
      <c r="I76" s="213"/>
      <c r="J76" s="244"/>
      <c r="K76" s="279"/>
      <c r="L76" s="244"/>
      <c r="M76" s="244"/>
      <c r="N76" s="244"/>
      <c r="O76" s="244"/>
      <c r="P76" s="244"/>
      <c r="Q76" s="279"/>
      <c r="R76" s="279"/>
      <c r="S76" s="244"/>
    </row>
    <row r="77" spans="2:19" ht="12.5">
      <c r="B77" s="244"/>
      <c r="C77" s="249" t="str">
        <f>"   FCR with "&amp;F13&amp;" Basis Point increase in ROE"</f>
        <v xml:space="preserve">   FCR with 0 Basis Point increase in ROE</v>
      </c>
      <c r="D77" s="293"/>
      <c r="E77" s="244"/>
      <c r="F77" s="340">
        <f>IF(F75=0,0,F76/F75)</f>
        <v>0.14708498504208881</v>
      </c>
      <c r="G77" s="340"/>
      <c r="I77" s="213"/>
      <c r="J77" s="244"/>
      <c r="K77" s="279"/>
      <c r="L77" s="244"/>
      <c r="M77" s="244"/>
      <c r="N77" s="244"/>
      <c r="O77" s="244"/>
      <c r="P77" s="244"/>
      <c r="Q77" s="279"/>
      <c r="R77" s="279"/>
      <c r="S77" s="244"/>
    </row>
    <row r="78" spans="2:19" ht="12.5">
      <c r="B78" s="244"/>
      <c r="D78" s="293"/>
      <c r="E78" s="244"/>
      <c r="F78" s="245"/>
      <c r="G78" s="245"/>
      <c r="H78" s="418"/>
      <c r="I78" s="213"/>
      <c r="J78" s="244"/>
      <c r="K78" s="279"/>
      <c r="L78" s="244"/>
      <c r="M78" s="244"/>
      <c r="N78" s="244"/>
      <c r="O78" s="244"/>
      <c r="P78" s="244"/>
      <c r="Q78" s="279"/>
      <c r="R78" s="279"/>
      <c r="S78" s="244"/>
    </row>
    <row r="79" spans="2:19" ht="12.5">
      <c r="B79" s="244"/>
      <c r="C79" s="249" t="str">
        <f>"   Net Rev. Req, w / "&amp;F13&amp;" Basis Point ROE increase, less Dep."</f>
        <v xml:space="preserve">   Net Rev. Req, w / 0 Basis Point ROE increase, less Dep.</v>
      </c>
      <c r="D79" s="293"/>
      <c r="E79" s="244"/>
      <c r="F79" s="327">
        <f>+F59</f>
        <v>143513022.11491114</v>
      </c>
      <c r="G79" s="327"/>
      <c r="I79" s="213"/>
      <c r="J79" s="244"/>
      <c r="K79" s="279"/>
      <c r="L79" s="244"/>
      <c r="M79" s="244"/>
      <c r="N79" s="244"/>
      <c r="O79" s="244"/>
      <c r="P79" s="244"/>
      <c r="Q79" s="279"/>
      <c r="R79" s="279"/>
      <c r="S79" s="244"/>
    </row>
    <row r="80" spans="2:19" ht="12.5">
      <c r="B80" s="244"/>
      <c r="C80" s="249" t="str">
        <f>"   FCR with "&amp;F13&amp;" Basis Point ROE increase, less Depreciation"</f>
        <v xml:space="preserve">   FCR with 0 Basis Point ROE increase, less Depreciation</v>
      </c>
      <c r="D80" s="293"/>
      <c r="E80" s="244"/>
      <c r="F80" s="340">
        <f>IF(F75=0,0,F79/F75)</f>
        <v>0.11023617395269095</v>
      </c>
      <c r="G80" s="340"/>
      <c r="H80" s="338"/>
      <c r="I80" s="213"/>
      <c r="J80" s="244"/>
      <c r="K80" s="279"/>
      <c r="L80" s="244"/>
      <c r="M80" s="244"/>
      <c r="N80" s="244"/>
      <c r="O80" s="244"/>
      <c r="P80" s="244"/>
      <c r="Q80" s="279"/>
      <c r="R80" s="279"/>
      <c r="S80" s="244"/>
    </row>
    <row r="81" spans="2:19" ht="12.5">
      <c r="B81" s="244"/>
      <c r="C81" s="312" t="str">
        <f>S124</f>
        <v xml:space="preserve">   FCR less Depreciation  (TCOS, ln 10)</v>
      </c>
      <c r="D81" s="293"/>
      <c r="E81" s="244"/>
      <c r="F81" s="341">
        <f>R124</f>
        <v>0.10963416019310859</v>
      </c>
      <c r="G81" s="341"/>
      <c r="H81" s="419"/>
      <c r="I81" s="213"/>
      <c r="J81" s="244"/>
      <c r="K81" s="279"/>
      <c r="L81" s="244"/>
      <c r="M81" s="244"/>
      <c r="N81" s="244"/>
      <c r="O81" s="244"/>
      <c r="P81" s="244"/>
      <c r="Q81" s="279"/>
      <c r="R81" s="279"/>
      <c r="S81" s="244"/>
    </row>
    <row r="82" spans="2:19" ht="12.5">
      <c r="B82" s="244"/>
      <c r="C82" s="249" t="str">
        <f>"   Incremental FCR with "&amp;F13&amp;" Basis Point ROE increase, less Depreciation"</f>
        <v xml:space="preserve">   Incremental FCR with 0 Basis Point ROE increase, less Depreciation</v>
      </c>
      <c r="D82" s="293"/>
      <c r="E82" s="244"/>
      <c r="F82" s="340">
        <f>F80-F81</f>
        <v>6.0201375958235381E-4</v>
      </c>
      <c r="G82" s="340"/>
      <c r="I82" s="213"/>
      <c r="J82" s="244"/>
      <c r="K82" s="279"/>
      <c r="L82" s="244"/>
      <c r="M82" s="244"/>
      <c r="N82" s="244"/>
      <c r="O82" s="244"/>
      <c r="P82" s="244"/>
      <c r="Q82" s="279"/>
      <c r="R82" s="279"/>
      <c r="S82" s="244"/>
    </row>
    <row r="83" spans="2:19" ht="12.5">
      <c r="B83" s="244"/>
      <c r="C83" s="249"/>
      <c r="D83" s="293"/>
      <c r="E83" s="244"/>
      <c r="F83" s="340"/>
      <c r="G83" s="340"/>
      <c r="H83" s="244"/>
      <c r="I83" s="326"/>
      <c r="J83" s="244"/>
      <c r="K83" s="279"/>
      <c r="L83" s="244"/>
      <c r="M83" s="244"/>
      <c r="N83" s="244"/>
      <c r="O83" s="244"/>
      <c r="P83" s="244"/>
      <c r="Q83" s="279"/>
      <c r="R83" s="279"/>
      <c r="S83" s="244"/>
    </row>
    <row r="84" spans="2:19" ht="18">
      <c r="B84" s="234" t="s">
        <v>35</v>
      </c>
      <c r="C84" s="306" t="s">
        <v>36</v>
      </c>
      <c r="D84" s="293"/>
      <c r="E84" s="244"/>
      <c r="F84" s="340"/>
      <c r="G84" s="340"/>
      <c r="H84" s="244"/>
      <c r="I84" s="326"/>
      <c r="J84" s="244"/>
      <c r="K84" s="279"/>
      <c r="L84" s="244"/>
      <c r="M84" s="244"/>
      <c r="N84" s="244"/>
      <c r="O84" s="244"/>
      <c r="P84" s="244"/>
      <c r="Q84" s="279"/>
      <c r="R84" s="279"/>
      <c r="S84" s="244"/>
    </row>
    <row r="85" spans="2:19" ht="12.75" customHeight="1">
      <c r="B85" s="234"/>
      <c r="C85" s="306"/>
      <c r="D85" s="293"/>
      <c r="E85" s="244"/>
      <c r="F85" s="340"/>
      <c r="G85" s="340"/>
      <c r="H85" s="244"/>
      <c r="I85" s="326"/>
      <c r="J85" s="244"/>
      <c r="K85" s="279"/>
      <c r="L85" s="244"/>
      <c r="M85" s="244"/>
      <c r="N85" s="244"/>
      <c r="O85" s="244"/>
      <c r="P85" s="244"/>
      <c r="Q85" s="279"/>
      <c r="R85" s="279"/>
      <c r="S85" s="244"/>
    </row>
    <row r="86" spans="2:19" ht="12.75" customHeight="1">
      <c r="B86" s="234"/>
      <c r="C86" s="249" t="s">
        <v>37</v>
      </c>
      <c r="D86" s="293"/>
      <c r="F86" s="420">
        <v>849082429</v>
      </c>
      <c r="G86" s="244" t="s">
        <v>241</v>
      </c>
      <c r="I86" s="726" t="s">
        <v>259</v>
      </c>
      <c r="J86" s="726"/>
      <c r="K86" s="726"/>
      <c r="L86" s="726"/>
      <c r="M86" s="726"/>
      <c r="N86" s="726"/>
      <c r="O86" s="244"/>
      <c r="P86" s="244"/>
      <c r="Q86" s="279"/>
      <c r="R86" s="279"/>
      <c r="S86" s="244"/>
    </row>
    <row r="87" spans="2:19" ht="12.75" customHeight="1">
      <c r="B87" s="234"/>
      <c r="C87" s="249" t="s">
        <v>38</v>
      </c>
      <c r="D87" s="293"/>
      <c r="F87" s="421">
        <v>958546907</v>
      </c>
      <c r="G87" s="244" t="s">
        <v>241</v>
      </c>
      <c r="I87" s="726"/>
      <c r="J87" s="726"/>
      <c r="K87" s="726"/>
      <c r="L87" s="726"/>
      <c r="M87" s="726"/>
      <c r="N87" s="726"/>
      <c r="O87" s="244"/>
      <c r="P87" s="244"/>
      <c r="Q87" s="279"/>
      <c r="R87" s="279"/>
      <c r="S87" s="244"/>
    </row>
    <row r="88" spans="2:19" ht="12.75" customHeight="1">
      <c r="B88" s="234"/>
      <c r="C88" s="249"/>
      <c r="D88" s="293"/>
      <c r="F88" s="333">
        <f>SUM(F86:F87)</f>
        <v>1807629336</v>
      </c>
      <c r="G88" s="326"/>
      <c r="H88" s="244"/>
      <c r="I88" s="726"/>
      <c r="J88" s="726"/>
      <c r="K88" s="726"/>
      <c r="L88" s="726"/>
      <c r="M88" s="726"/>
      <c r="N88" s="726"/>
      <c r="O88" s="244"/>
      <c r="P88" s="244"/>
      <c r="Q88" s="279"/>
      <c r="R88" s="279"/>
      <c r="S88" s="244"/>
    </row>
    <row r="89" spans="2:19" ht="12.5">
      <c r="B89" s="244"/>
      <c r="C89" s="249" t="str">
        <f>+S125</f>
        <v>Transmission Plant @ Beginning of Period (P.206, ln 58)</v>
      </c>
      <c r="D89" s="334"/>
      <c r="E89" s="152"/>
      <c r="F89" s="343">
        <f>+F88/2</f>
        <v>903814668</v>
      </c>
      <c r="G89" s="324"/>
      <c r="I89" s="726"/>
      <c r="J89" s="726"/>
      <c r="K89" s="726"/>
      <c r="L89" s="726"/>
      <c r="M89" s="726"/>
      <c r="N89" s="726"/>
      <c r="O89" s="244"/>
      <c r="P89" s="244"/>
      <c r="Q89" s="279"/>
      <c r="R89" s="279"/>
      <c r="S89" s="244"/>
    </row>
    <row r="90" spans="2:19" ht="12.5">
      <c r="B90" s="244"/>
      <c r="C90" s="237" t="str">
        <f>S128</f>
        <v>Annual Depreciation Expense  (TCOS, ln 86)</v>
      </c>
      <c r="D90" s="334"/>
      <c r="E90" s="245"/>
      <c r="F90" s="343">
        <f>R128</f>
        <v>47972313</v>
      </c>
      <c r="G90" s="324"/>
      <c r="I90" s="726"/>
      <c r="J90" s="726"/>
      <c r="K90" s="726"/>
      <c r="L90" s="726"/>
      <c r="M90" s="726"/>
      <c r="N90" s="726"/>
      <c r="O90" s="244"/>
      <c r="P90" s="244"/>
      <c r="Q90" s="279"/>
      <c r="R90" s="279"/>
      <c r="S90" s="244"/>
    </row>
    <row r="91" spans="2:19" ht="12.5">
      <c r="B91" s="244"/>
      <c r="C91" s="249" t="s">
        <v>39</v>
      </c>
      <c r="D91" s="293"/>
      <c r="E91" s="244"/>
      <c r="F91" s="345">
        <f>F90/F89</f>
        <v>5.3077599532828118E-2</v>
      </c>
      <c r="G91" s="340"/>
      <c r="H91" s="244"/>
      <c r="I91" s="726"/>
      <c r="J91" s="726"/>
      <c r="K91" s="726"/>
      <c r="L91" s="726"/>
      <c r="M91" s="726"/>
      <c r="N91" s="726"/>
      <c r="O91" s="244"/>
      <c r="P91" s="244"/>
      <c r="Q91" s="279"/>
      <c r="R91" s="279"/>
      <c r="S91" s="244"/>
    </row>
    <row r="92" spans="2:19" ht="12.5">
      <c r="B92" s="244"/>
      <c r="C92" s="249" t="s">
        <v>40</v>
      </c>
      <c r="D92" s="293"/>
      <c r="E92" s="244"/>
      <c r="F92" s="347">
        <f>IF(F91=0,0,1/F91)</f>
        <v>18.840339593381707</v>
      </c>
      <c r="G92" s="347"/>
      <c r="H92" s="244"/>
      <c r="I92" s="326"/>
      <c r="J92" s="244"/>
      <c r="K92" s="279"/>
      <c r="L92" s="244"/>
      <c r="M92" s="244"/>
      <c r="N92" s="244"/>
      <c r="O92" s="244"/>
      <c r="P92" s="244"/>
      <c r="Q92" s="279"/>
      <c r="R92" s="279"/>
      <c r="S92" s="244"/>
    </row>
    <row r="93" spans="2:19" ht="12.5">
      <c r="B93" s="244"/>
      <c r="C93" s="249" t="s">
        <v>41</v>
      </c>
      <c r="D93" s="293"/>
      <c r="E93" s="244"/>
      <c r="F93" s="348">
        <f>ROUND(F92,0)</f>
        <v>19</v>
      </c>
      <c r="G93" s="348"/>
      <c r="H93" s="244"/>
      <c r="I93" s="326"/>
      <c r="J93" s="244"/>
      <c r="K93" s="279"/>
      <c r="L93" s="244"/>
      <c r="M93" s="244"/>
      <c r="N93" s="244"/>
      <c r="O93" s="244"/>
      <c r="P93" s="244"/>
      <c r="Q93" s="279"/>
      <c r="R93" s="279"/>
      <c r="S93" s="244"/>
    </row>
    <row r="94" spans="2:19" ht="12.5">
      <c r="B94" s="244"/>
      <c r="C94" s="249"/>
      <c r="D94" s="293"/>
      <c r="E94" s="244"/>
      <c r="F94" s="348"/>
      <c r="G94" s="348"/>
      <c r="H94" s="244"/>
      <c r="I94" s="326"/>
      <c r="J94" s="244"/>
      <c r="K94" s="279"/>
      <c r="L94" s="244"/>
      <c r="M94" s="244"/>
      <c r="N94" s="244"/>
      <c r="O94" s="244"/>
      <c r="P94" s="244"/>
      <c r="Q94" s="279"/>
      <c r="R94" s="279"/>
      <c r="S94" s="244"/>
    </row>
    <row r="95" spans="2:19" ht="12.5">
      <c r="B95" s="244"/>
      <c r="C95" s="249"/>
      <c r="D95" s="293"/>
      <c r="E95" s="244"/>
      <c r="F95" s="348"/>
      <c r="G95" s="348"/>
      <c r="H95" s="244"/>
      <c r="I95" s="326"/>
      <c r="J95" s="244"/>
      <c r="K95" s="279"/>
      <c r="L95" s="244"/>
      <c r="M95" s="244"/>
      <c r="N95" s="244"/>
      <c r="O95" s="244"/>
      <c r="P95" s="244"/>
      <c r="Q95" s="279"/>
      <c r="R95" s="279"/>
      <c r="S95" s="244"/>
    </row>
    <row r="96" spans="2:19" ht="12.5">
      <c r="B96" s="244"/>
      <c r="C96" s="249"/>
      <c r="D96" s="293"/>
      <c r="E96" s="244"/>
      <c r="F96" s="348"/>
      <c r="G96" s="348"/>
      <c r="H96" s="244"/>
      <c r="I96" s="326"/>
      <c r="J96" s="244"/>
      <c r="K96" s="279"/>
      <c r="L96" s="244"/>
      <c r="M96" s="244"/>
      <c r="N96" s="244"/>
      <c r="O96" s="244"/>
      <c r="P96" s="244"/>
      <c r="Q96" s="279"/>
      <c r="R96" s="279"/>
      <c r="S96" s="244"/>
    </row>
    <row r="97" spans="3:19" ht="13">
      <c r="C97" s="244"/>
      <c r="D97" s="293"/>
      <c r="E97" s="244"/>
      <c r="F97" s="244"/>
      <c r="G97" s="244"/>
      <c r="H97" s="244"/>
      <c r="I97" s="326"/>
      <c r="J97" s="244"/>
      <c r="K97" s="279"/>
      <c r="L97" s="244"/>
      <c r="M97" s="244"/>
      <c r="N97" s="244"/>
      <c r="O97" s="244"/>
      <c r="P97" s="244"/>
      <c r="Q97" s="279"/>
      <c r="R97" s="352" t="s">
        <v>111</v>
      </c>
      <c r="S97" s="353" t="s">
        <v>117</v>
      </c>
    </row>
    <row r="98" spans="3:19" ht="12.5">
      <c r="C98" s="244"/>
      <c r="D98" s="293"/>
      <c r="E98" s="244"/>
      <c r="F98" s="244"/>
      <c r="G98" s="244"/>
      <c r="H98" s="244"/>
      <c r="I98" s="326"/>
      <c r="J98" s="244"/>
      <c r="K98" s="279"/>
      <c r="L98" s="244"/>
      <c r="M98" s="244"/>
      <c r="N98" s="244"/>
      <c r="O98" s="244"/>
      <c r="P98" s="244"/>
      <c r="Q98" s="279"/>
    </row>
    <row r="99" spans="3:19" ht="13">
      <c r="C99" s="233" t="s">
        <v>108</v>
      </c>
      <c r="J99" s="221"/>
      <c r="L99" s="233" t="s">
        <v>107</v>
      </c>
      <c r="N99" s="244"/>
      <c r="O99" s="244"/>
      <c r="P99" s="244"/>
      <c r="Q99" s="279"/>
    </row>
    <row r="100" spans="3:19" ht="12.5">
      <c r="C100" s="244"/>
      <c r="D100" s="293"/>
      <c r="E100" s="244"/>
      <c r="F100" s="244"/>
      <c r="G100" s="244"/>
      <c r="H100" s="244"/>
      <c r="I100" s="326"/>
      <c r="J100" s="244"/>
      <c r="K100" s="279"/>
      <c r="L100" s="244"/>
      <c r="M100" s="244"/>
      <c r="N100" s="244"/>
      <c r="O100" s="244"/>
      <c r="P100" s="244"/>
      <c r="Q100" s="279"/>
      <c r="S100" s="353" t="s">
        <v>105</v>
      </c>
    </row>
    <row r="101" spans="3:19" ht="13">
      <c r="C101" s="244"/>
      <c r="D101" s="293"/>
      <c r="E101" s="244"/>
      <c r="F101" s="244"/>
      <c r="G101" s="244"/>
      <c r="H101" s="244"/>
      <c r="I101" s="326"/>
      <c r="J101" s="244"/>
      <c r="K101" s="279"/>
      <c r="L101" s="244"/>
      <c r="M101" s="244"/>
      <c r="N101" s="244"/>
      <c r="O101" s="244"/>
      <c r="P101" s="244"/>
      <c r="Q101" s="279"/>
      <c r="R101" s="352" t="s">
        <v>102</v>
      </c>
      <c r="S101" s="201" t="s">
        <v>119</v>
      </c>
    </row>
    <row r="102" spans="3:19" ht="13.5" thickBot="1">
      <c r="C102" s="244"/>
      <c r="D102" s="293"/>
      <c r="E102" s="244"/>
      <c r="F102" s="244"/>
      <c r="G102" s="244"/>
      <c r="H102" s="244"/>
      <c r="I102" s="326"/>
      <c r="J102" s="244"/>
      <c r="K102" s="279"/>
      <c r="L102" s="244"/>
      <c r="M102" s="244"/>
      <c r="N102" s="244"/>
      <c r="O102" s="244"/>
      <c r="Q102" s="279"/>
      <c r="R102" s="354" t="s">
        <v>186</v>
      </c>
    </row>
    <row r="103" spans="3:19" ht="12.5">
      <c r="C103" s="244"/>
      <c r="D103" s="293"/>
      <c r="E103" s="244"/>
      <c r="F103" s="244"/>
      <c r="G103" s="244"/>
      <c r="H103" s="244"/>
      <c r="I103" s="326"/>
      <c r="J103" s="244"/>
      <c r="K103" s="279"/>
      <c r="L103" s="244"/>
      <c r="M103" s="244"/>
      <c r="N103" s="244"/>
      <c r="O103" s="244"/>
      <c r="Q103" s="279"/>
      <c r="R103" s="422" t="s">
        <v>178</v>
      </c>
      <c r="S103" s="423" t="s">
        <v>127</v>
      </c>
    </row>
    <row r="104" spans="3:19" ht="12.5">
      <c r="C104" s="244"/>
      <c r="D104" s="293"/>
      <c r="E104" s="244"/>
      <c r="F104" s="244"/>
      <c r="G104" s="244"/>
      <c r="H104" s="244"/>
      <c r="I104" s="326"/>
      <c r="J104" s="244"/>
      <c r="K104" s="279"/>
      <c r="L104" s="244"/>
      <c r="M104" s="244"/>
      <c r="N104" s="244"/>
      <c r="O104" s="244"/>
      <c r="Q104" s="279"/>
      <c r="R104" s="357">
        <v>2023</v>
      </c>
      <c r="S104" s="424" t="s">
        <v>84</v>
      </c>
    </row>
    <row r="105" spans="3:19" ht="12.5">
      <c r="C105" s="244"/>
      <c r="D105" s="293"/>
      <c r="E105" s="244"/>
      <c r="F105" s="244"/>
      <c r="G105" s="244"/>
      <c r="H105" s="244"/>
      <c r="I105" s="326"/>
      <c r="J105" s="244"/>
      <c r="K105" s="279"/>
      <c r="L105" s="244"/>
      <c r="M105" s="244"/>
      <c r="N105" s="244"/>
      <c r="O105" s="244"/>
      <c r="Q105" s="279"/>
      <c r="R105" s="425">
        <v>0.105</v>
      </c>
      <c r="S105" s="424" t="s">
        <v>271</v>
      </c>
    </row>
    <row r="106" spans="3:19" ht="12.5">
      <c r="C106" s="244"/>
      <c r="D106" s="293"/>
      <c r="E106" s="244"/>
      <c r="F106" s="244"/>
      <c r="G106" s="244"/>
      <c r="H106" s="244"/>
      <c r="I106" s="326"/>
      <c r="J106" s="244"/>
      <c r="K106" s="279"/>
      <c r="L106" s="244"/>
      <c r="M106" s="244"/>
      <c r="N106" s="244"/>
      <c r="O106" s="244"/>
      <c r="Q106" s="279"/>
      <c r="R106" s="426">
        <v>0</v>
      </c>
      <c r="S106" s="424" t="s">
        <v>1</v>
      </c>
    </row>
    <row r="107" spans="3:19" ht="12.5">
      <c r="C107" s="244"/>
      <c r="D107" s="293"/>
      <c r="E107" s="244"/>
      <c r="F107" s="244"/>
      <c r="G107" s="244"/>
      <c r="H107" s="244"/>
      <c r="I107" s="326"/>
      <c r="J107" s="244"/>
      <c r="K107" s="279"/>
      <c r="L107" s="244"/>
      <c r="M107" s="244"/>
      <c r="N107" s="244"/>
      <c r="O107" s="244"/>
      <c r="Q107" s="279"/>
      <c r="R107" s="425">
        <v>0.4823566899420933</v>
      </c>
      <c r="S107" s="427" t="s">
        <v>97</v>
      </c>
    </row>
    <row r="108" spans="3:19" ht="12.5">
      <c r="C108" s="244"/>
      <c r="D108" s="293"/>
      <c r="E108" s="244"/>
      <c r="F108" s="244"/>
      <c r="G108" s="244"/>
      <c r="H108" s="244"/>
      <c r="I108" s="326"/>
      <c r="J108" s="244"/>
      <c r="K108" s="279"/>
      <c r="L108" s="244"/>
      <c r="M108" s="244"/>
      <c r="N108" s="244"/>
      <c r="O108" s="244"/>
      <c r="Q108" s="279"/>
      <c r="R108" s="428">
        <v>4.3662628997616977E-2</v>
      </c>
      <c r="S108" s="427" t="s">
        <v>98</v>
      </c>
    </row>
    <row r="109" spans="3:19" ht="12.5">
      <c r="C109" s="244"/>
      <c r="D109" s="293"/>
      <c r="E109" s="244"/>
      <c r="F109" s="244"/>
      <c r="G109" s="244"/>
      <c r="H109" s="244"/>
      <c r="I109" s="326"/>
      <c r="J109" s="244"/>
      <c r="K109" s="279"/>
      <c r="L109" s="244"/>
      <c r="M109" s="244"/>
      <c r="N109" s="244"/>
      <c r="O109" s="244"/>
      <c r="Q109" s="279"/>
      <c r="R109" s="425">
        <v>0</v>
      </c>
      <c r="S109" s="427" t="s">
        <v>99</v>
      </c>
    </row>
    <row r="110" spans="3:19" ht="12.5">
      <c r="C110" s="244"/>
      <c r="D110" s="293"/>
      <c r="E110" s="244"/>
      <c r="F110" s="244"/>
      <c r="G110" s="244"/>
      <c r="H110" s="244"/>
      <c r="I110" s="326"/>
      <c r="J110" s="244"/>
      <c r="K110" s="279"/>
      <c r="L110" s="244"/>
      <c r="M110" s="244"/>
      <c r="N110" s="244"/>
      <c r="O110" s="244"/>
      <c r="Q110" s="279"/>
      <c r="R110" s="428">
        <v>0</v>
      </c>
      <c r="S110" s="427" t="s">
        <v>100</v>
      </c>
    </row>
    <row r="111" spans="3:19" ht="12.5">
      <c r="C111" s="244"/>
      <c r="D111" s="293"/>
      <c r="E111" s="244"/>
      <c r="F111" s="244"/>
      <c r="G111" s="244"/>
      <c r="H111" s="244"/>
      <c r="I111" s="326"/>
      <c r="J111" s="244"/>
      <c r="K111" s="279"/>
      <c r="L111" s="244"/>
      <c r="M111" s="244"/>
      <c r="N111" s="244"/>
      <c r="O111" s="244"/>
      <c r="Q111" s="279"/>
      <c r="R111" s="425">
        <v>0.51764331005790676</v>
      </c>
      <c r="S111" s="429" t="s">
        <v>101</v>
      </c>
    </row>
    <row r="112" spans="3:19" ht="12.5">
      <c r="C112" s="244"/>
      <c r="D112" s="293"/>
      <c r="E112" s="244"/>
      <c r="F112" s="244"/>
      <c r="G112" s="244"/>
      <c r="H112" s="244"/>
      <c r="I112" s="326"/>
      <c r="J112" s="244"/>
      <c r="K112" s="279"/>
      <c r="L112" s="244"/>
      <c r="M112" s="244"/>
      <c r="N112" s="244"/>
      <c r="O112" s="244"/>
      <c r="Q112" s="279"/>
      <c r="R112" s="430">
        <v>1198140638.2045226</v>
      </c>
      <c r="S112" s="431" t="s">
        <v>272</v>
      </c>
    </row>
    <row r="113" spans="3:19" ht="12.5">
      <c r="C113" s="244"/>
      <c r="D113" s="293"/>
      <c r="E113" s="244"/>
      <c r="F113" s="244"/>
      <c r="G113" s="244"/>
      <c r="H113" s="244"/>
      <c r="I113" s="326"/>
      <c r="J113" s="244"/>
      <c r="K113" s="279"/>
      <c r="L113" s="244"/>
      <c r="M113" s="244"/>
      <c r="N113" s="244"/>
      <c r="O113" s="244"/>
      <c r="Q113" s="279"/>
      <c r="R113" s="366">
        <v>0.24041499999999993</v>
      </c>
      <c r="S113" s="424" t="s">
        <v>273</v>
      </c>
    </row>
    <row r="114" spans="3:19" ht="12.5">
      <c r="C114" s="244"/>
      <c r="D114" s="293"/>
      <c r="E114" s="244"/>
      <c r="F114" s="244"/>
      <c r="G114" s="244"/>
      <c r="H114" s="244"/>
      <c r="I114" s="326"/>
      <c r="J114" s="244"/>
      <c r="K114" s="279"/>
      <c r="L114" s="244"/>
      <c r="M114" s="244"/>
      <c r="N114" s="244"/>
      <c r="O114" s="244"/>
      <c r="Q114" s="279"/>
      <c r="R114" s="430">
        <v>0</v>
      </c>
      <c r="S114" s="424" t="s">
        <v>274</v>
      </c>
    </row>
    <row r="115" spans="3:19" ht="12.5">
      <c r="C115" s="244"/>
      <c r="D115" s="293"/>
      <c r="E115" s="244"/>
      <c r="F115" s="244"/>
      <c r="G115" s="244"/>
      <c r="H115" s="244"/>
      <c r="I115" s="326"/>
      <c r="J115" s="244"/>
      <c r="K115" s="279"/>
      <c r="L115" s="244"/>
      <c r="M115" s="244"/>
      <c r="N115" s="244"/>
      <c r="O115" s="244"/>
      <c r="Q115" s="279"/>
      <c r="R115" s="430">
        <v>-51066.782998855146</v>
      </c>
      <c r="S115" s="424" t="s">
        <v>275</v>
      </c>
    </row>
    <row r="116" spans="3:19" ht="12.5">
      <c r="C116" s="244"/>
      <c r="D116" s="293"/>
      <c r="E116" s="244"/>
      <c r="F116" s="244"/>
      <c r="G116" s="244"/>
      <c r="H116" s="244"/>
      <c r="I116" s="326"/>
      <c r="J116" s="244"/>
      <c r="K116" s="279"/>
      <c r="L116" s="244"/>
      <c r="M116" s="244"/>
      <c r="N116" s="244"/>
      <c r="O116" s="244"/>
      <c r="Q116" s="279"/>
      <c r="R116" s="430">
        <v>376133.42933012632</v>
      </c>
      <c r="S116" s="424" t="s">
        <v>276</v>
      </c>
    </row>
    <row r="117" spans="3:19" ht="12.5">
      <c r="C117" s="244"/>
      <c r="D117" s="293"/>
      <c r="E117" s="244"/>
      <c r="F117" s="244"/>
      <c r="G117" s="244"/>
      <c r="H117" s="244"/>
      <c r="I117" s="326"/>
      <c r="J117" s="244"/>
      <c r="K117" s="279"/>
      <c r="L117" s="244"/>
      <c r="M117" s="244"/>
      <c r="N117" s="244"/>
      <c r="O117" s="244"/>
      <c r="Q117" s="279"/>
      <c r="R117" s="430">
        <v>190701592.25723991</v>
      </c>
      <c r="S117" s="424" t="s">
        <v>277</v>
      </c>
    </row>
    <row r="118" spans="3:19" ht="12.5">
      <c r="C118" s="244"/>
      <c r="D118" s="293"/>
      <c r="E118" s="244"/>
      <c r="F118" s="244"/>
      <c r="G118" s="244"/>
      <c r="H118" s="244"/>
      <c r="I118" s="326"/>
      <c r="J118" s="244"/>
      <c r="K118" s="279"/>
      <c r="L118" s="244"/>
      <c r="M118" s="244"/>
      <c r="N118" s="244"/>
      <c r="O118" s="244"/>
      <c r="Q118" s="279"/>
      <c r="R118" s="430">
        <v>90355989.507209226</v>
      </c>
      <c r="S118" s="424" t="s">
        <v>278</v>
      </c>
    </row>
    <row r="119" spans="3:19" ht="12.5">
      <c r="C119" s="244"/>
      <c r="D119" s="293"/>
      <c r="E119" s="244"/>
      <c r="F119" s="244"/>
      <c r="G119" s="244"/>
      <c r="H119" s="244"/>
      <c r="I119" s="326"/>
      <c r="J119" s="244"/>
      <c r="K119" s="279"/>
      <c r="L119" s="244"/>
      <c r="M119" s="244"/>
      <c r="N119" s="244"/>
      <c r="O119" s="244"/>
      <c r="Q119" s="279"/>
      <c r="R119" s="430">
        <v>20936722.580030676</v>
      </c>
      <c r="S119" s="424" t="s">
        <v>279</v>
      </c>
    </row>
    <row r="120" spans="3:19" ht="12.5">
      <c r="C120" s="244"/>
      <c r="D120" s="293"/>
      <c r="E120" s="244"/>
      <c r="F120" s="244"/>
      <c r="G120" s="244"/>
      <c r="H120" s="244"/>
      <c r="I120" s="326"/>
      <c r="J120" s="244"/>
      <c r="K120" s="279"/>
      <c r="L120" s="244"/>
      <c r="M120" s="244"/>
      <c r="N120" s="244"/>
      <c r="O120" s="244"/>
      <c r="Q120" s="279"/>
      <c r="R120" s="430">
        <v>0</v>
      </c>
      <c r="S120" s="424" t="s">
        <v>280</v>
      </c>
    </row>
    <row r="121" spans="3:19" ht="12.5">
      <c r="C121" s="244"/>
      <c r="D121" s="293"/>
      <c r="E121" s="244"/>
      <c r="F121" s="244"/>
      <c r="G121" s="244"/>
      <c r="H121" s="244"/>
      <c r="I121" s="326"/>
      <c r="J121" s="244"/>
      <c r="K121" s="279"/>
      <c r="L121" s="244"/>
      <c r="M121" s="244"/>
      <c r="N121" s="244"/>
      <c r="O121" s="244"/>
      <c r="Q121" s="279"/>
      <c r="R121" s="430">
        <v>47972313</v>
      </c>
      <c r="S121" s="424" t="s">
        <v>281</v>
      </c>
    </row>
    <row r="122" spans="3:19" ht="12.5">
      <c r="C122" s="244"/>
      <c r="D122" s="293"/>
      <c r="E122" s="244"/>
      <c r="F122" s="244"/>
      <c r="G122" s="244"/>
      <c r="H122" s="244"/>
      <c r="I122" s="326"/>
      <c r="J122" s="244"/>
      <c r="K122" s="279"/>
      <c r="L122" s="244"/>
      <c r="M122" s="244"/>
      <c r="N122" s="244"/>
      <c r="O122" s="244"/>
      <c r="Q122" s="279"/>
      <c r="R122" s="366">
        <v>0</v>
      </c>
      <c r="S122" s="424" t="s">
        <v>104</v>
      </c>
    </row>
    <row r="123" spans="3:19" ht="12.5">
      <c r="C123" s="244"/>
      <c r="D123" s="293"/>
      <c r="E123" s="244"/>
      <c r="F123" s="244"/>
      <c r="G123" s="244"/>
      <c r="H123" s="244"/>
      <c r="I123" s="326"/>
      <c r="J123" s="244"/>
      <c r="K123" s="279"/>
      <c r="L123" s="244"/>
      <c r="M123" s="244"/>
      <c r="N123" s="244"/>
      <c r="O123" s="244"/>
      <c r="Q123" s="279"/>
      <c r="R123" s="430">
        <v>1301868678.5746148</v>
      </c>
      <c r="S123" s="424" t="s">
        <v>282</v>
      </c>
    </row>
    <row r="124" spans="3:19" ht="12.5">
      <c r="C124" s="244"/>
      <c r="D124" s="293"/>
      <c r="E124" s="244"/>
      <c r="F124" s="244"/>
      <c r="G124" s="244"/>
      <c r="H124" s="244"/>
      <c r="I124" s="326"/>
      <c r="J124" s="244"/>
      <c r="K124" s="279"/>
      <c r="L124" s="244"/>
      <c r="M124" s="244"/>
      <c r="N124" s="244"/>
      <c r="O124" s="244"/>
      <c r="Q124" s="279"/>
      <c r="R124" s="366">
        <v>0.10963416019310859</v>
      </c>
      <c r="S124" s="432" t="s">
        <v>283</v>
      </c>
    </row>
    <row r="125" spans="3:19" ht="12.5">
      <c r="C125" s="244"/>
      <c r="D125" s="293"/>
      <c r="E125" s="244"/>
      <c r="F125" s="244"/>
      <c r="G125" s="244"/>
      <c r="H125" s="244"/>
      <c r="I125" s="326"/>
      <c r="J125" s="244"/>
      <c r="K125" s="279"/>
      <c r="L125" s="244"/>
      <c r="M125" s="244"/>
      <c r="N125" s="244"/>
      <c r="O125" s="244"/>
      <c r="Q125" s="279"/>
      <c r="R125" s="433">
        <v>1471698727</v>
      </c>
      <c r="S125" s="249" t="s">
        <v>37</v>
      </c>
    </row>
    <row r="126" spans="3:19" ht="12.5">
      <c r="C126" s="244"/>
      <c r="D126" s="293"/>
      <c r="E126" s="244"/>
      <c r="F126" s="244"/>
      <c r="G126" s="244"/>
      <c r="H126" s="244"/>
      <c r="I126" s="326"/>
      <c r="J126" s="244"/>
      <c r="K126" s="279"/>
      <c r="L126" s="244"/>
      <c r="M126" s="244"/>
      <c r="N126" s="244"/>
      <c r="O126" s="244"/>
      <c r="Q126" s="279"/>
      <c r="R126" s="433">
        <v>1641560580.5999994</v>
      </c>
      <c r="S126" s="249" t="s">
        <v>38</v>
      </c>
    </row>
    <row r="127" spans="3:19" ht="12.5">
      <c r="C127" s="244"/>
      <c r="D127" s="293"/>
      <c r="E127" s="244"/>
      <c r="F127" s="244"/>
      <c r="G127" s="244"/>
      <c r="H127" s="244"/>
      <c r="I127" s="326"/>
      <c r="J127" s="244"/>
      <c r="K127" s="279"/>
      <c r="L127" s="244"/>
      <c r="M127" s="244"/>
      <c r="N127" s="244"/>
      <c r="O127" s="244"/>
      <c r="Q127" s="279"/>
      <c r="R127" s="433">
        <v>1529011878.2669225</v>
      </c>
      <c r="S127" s="373" t="s">
        <v>302</v>
      </c>
    </row>
    <row r="128" spans="3:19" ht="13" thickBot="1">
      <c r="C128" s="244"/>
      <c r="D128" s="293"/>
      <c r="E128" s="244"/>
      <c r="F128" s="244"/>
      <c r="G128" s="244"/>
      <c r="H128" s="244"/>
      <c r="I128" s="326"/>
      <c r="J128" s="244"/>
      <c r="K128" s="279"/>
      <c r="L128" s="244"/>
      <c r="M128" s="244"/>
      <c r="N128" s="244"/>
      <c r="O128" s="244"/>
      <c r="Q128" s="279"/>
      <c r="R128" s="434">
        <v>47972313</v>
      </c>
      <c r="S128" s="435" t="s">
        <v>284</v>
      </c>
    </row>
    <row r="129" spans="3:19" ht="12.5">
      <c r="C129" s="244"/>
      <c r="D129" s="293"/>
      <c r="E129" s="244"/>
      <c r="F129" s="244"/>
      <c r="G129" s="244"/>
      <c r="H129" s="244"/>
      <c r="I129" s="326"/>
      <c r="J129" s="244"/>
      <c r="K129" s="279"/>
      <c r="L129" s="244"/>
      <c r="M129" s="244"/>
      <c r="N129" s="244"/>
      <c r="O129" s="244"/>
      <c r="Q129" s="279"/>
      <c r="R129" s="244"/>
      <c r="S129" s="244"/>
    </row>
    <row r="130" spans="3:19" ht="13">
      <c r="C130" s="244"/>
      <c r="D130" s="293"/>
      <c r="E130" s="244"/>
      <c r="F130" s="244"/>
      <c r="G130" s="244"/>
      <c r="H130" s="244"/>
      <c r="I130" s="326"/>
      <c r="J130" s="244"/>
      <c r="K130" s="279"/>
      <c r="L130" s="244"/>
      <c r="M130" s="244"/>
      <c r="N130" s="244"/>
      <c r="O130" s="244"/>
      <c r="Q130" s="279"/>
      <c r="R130" s="352" t="s">
        <v>103</v>
      </c>
      <c r="S130" s="244" t="s">
        <v>115</v>
      </c>
    </row>
    <row r="131" spans="3:19" ht="13.5" thickBot="1">
      <c r="C131" s="244"/>
      <c r="D131" s="293"/>
      <c r="E131" s="244"/>
      <c r="F131" s="244"/>
      <c r="G131" s="244"/>
      <c r="H131" s="244"/>
      <c r="I131" s="326"/>
      <c r="J131" s="244"/>
      <c r="K131" s="279"/>
      <c r="L131" s="244"/>
      <c r="M131" s="244"/>
      <c r="N131" s="244"/>
      <c r="O131" s="244"/>
      <c r="Q131" s="279"/>
      <c r="R131" s="354" t="s">
        <v>187</v>
      </c>
      <c r="S131" s="244"/>
    </row>
    <row r="132" spans="3:19" ht="12.5">
      <c r="C132" s="244"/>
      <c r="D132" s="293"/>
      <c r="E132" s="244"/>
      <c r="F132" s="244"/>
      <c r="G132" s="244"/>
      <c r="H132" s="244"/>
      <c r="I132" s="326"/>
      <c r="J132" s="244"/>
      <c r="K132" s="279"/>
      <c r="L132" s="244"/>
      <c r="M132" s="244"/>
      <c r="N132" s="244"/>
      <c r="O132" s="244"/>
      <c r="Q132" s="279"/>
      <c r="R132" s="378">
        <f>+N17</f>
        <v>40330314.923671976</v>
      </c>
      <c r="S132" s="145" t="s">
        <v>120</v>
      </c>
    </row>
    <row r="133" spans="3:19" ht="12.5">
      <c r="C133" s="244"/>
      <c r="D133" s="293"/>
      <c r="E133" s="244"/>
      <c r="F133" s="244"/>
      <c r="G133" s="244"/>
      <c r="H133" s="244"/>
      <c r="I133" s="326"/>
      <c r="J133" s="244"/>
      <c r="K133" s="279"/>
      <c r="L133" s="244"/>
      <c r="M133" s="244"/>
      <c r="N133" s="244"/>
      <c r="O133" s="244"/>
      <c r="Q133" s="279"/>
      <c r="R133" s="379">
        <f>+O17</f>
        <v>40330314.923671976</v>
      </c>
      <c r="S133" s="145" t="s">
        <v>121</v>
      </c>
    </row>
    <row r="134" spans="3:19" ht="12.5">
      <c r="C134" s="244"/>
      <c r="D134" s="293"/>
      <c r="E134" s="244"/>
      <c r="F134" s="244"/>
      <c r="G134" s="244"/>
      <c r="H134" s="244"/>
      <c r="I134" s="326"/>
      <c r="J134" s="244"/>
      <c r="K134" s="279"/>
      <c r="L134" s="244"/>
      <c r="M134" s="244"/>
      <c r="N134" s="244"/>
      <c r="O134" s="244"/>
      <c r="Q134" s="279"/>
      <c r="R134" s="436">
        <f>+N18</f>
        <v>43806233.973688513</v>
      </c>
      <c r="S134" s="145" t="s">
        <v>122</v>
      </c>
    </row>
    <row r="135" spans="3:19" ht="13" thickBot="1">
      <c r="C135" s="244"/>
      <c r="D135" s="293"/>
      <c r="E135" s="244"/>
      <c r="F135" s="244"/>
      <c r="G135" s="244"/>
      <c r="H135" s="244"/>
      <c r="I135" s="326"/>
      <c r="J135" s="244"/>
      <c r="K135" s="279"/>
      <c r="L135" s="244"/>
      <c r="M135" s="244"/>
      <c r="N135" s="244"/>
      <c r="O135" s="244"/>
      <c r="Q135" s="279"/>
      <c r="R135" s="437">
        <f>+O18</f>
        <v>43806233.973688513</v>
      </c>
      <c r="S135" s="145" t="s">
        <v>123</v>
      </c>
    </row>
    <row r="136" spans="3:19" ht="12.5">
      <c r="C136" s="244"/>
      <c r="D136" s="293"/>
      <c r="E136" s="244"/>
      <c r="F136" s="244"/>
      <c r="G136" s="244"/>
      <c r="H136" s="244"/>
      <c r="I136" s="326"/>
      <c r="J136" s="244"/>
      <c r="K136" s="279"/>
      <c r="L136" s="244"/>
      <c r="M136" s="244"/>
      <c r="N136" s="244"/>
      <c r="O136" s="244"/>
      <c r="Q136" s="279"/>
      <c r="R136" s="244"/>
      <c r="S136" s="244"/>
    </row>
    <row r="137" spans="3:19" ht="13">
      <c r="C137" s="244"/>
      <c r="D137" s="293"/>
      <c r="E137" s="244"/>
      <c r="F137" s="244"/>
      <c r="G137" s="244"/>
      <c r="H137" s="244"/>
      <c r="I137" s="326"/>
      <c r="J137" s="244"/>
      <c r="K137" s="279"/>
      <c r="L137" s="244"/>
      <c r="M137" s="244"/>
      <c r="N137" s="244"/>
      <c r="O137" s="244"/>
      <c r="Q137" s="279"/>
      <c r="R137" s="352" t="s">
        <v>113</v>
      </c>
      <c r="S137" s="353" t="s">
        <v>118</v>
      </c>
    </row>
  </sheetData>
  <mergeCells count="7">
    <mergeCell ref="I86:N91"/>
    <mergeCell ref="C8:I8"/>
    <mergeCell ref="A1:K1"/>
    <mergeCell ref="A2:K2"/>
    <mergeCell ref="A3:K3"/>
    <mergeCell ref="A4:K4"/>
    <mergeCell ref="A5:K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&amp;R&amp;16AEPTCo - SPP Formula Rate
&amp;A TCOS - WS G
Page: &amp;P of &amp;N
</oddHeader>
    <oddFooter xml:space="preserve">&amp;C &amp;R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9"/>
  <dimension ref="A1:U163"/>
  <sheetViews>
    <sheetView zoomScaleNormal="100" zoomScaleSheetLayoutView="70"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179687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1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t="str">
        <f>RIGHT(N3,3)</f>
        <v/>
      </c>
      <c r="P3" s="443">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83794.43683291944</v>
      </c>
      <c r="P5" s="244"/>
      <c r="R5" s="244"/>
      <c r="S5" s="244"/>
      <c r="T5" s="244"/>
      <c r="U5" s="244"/>
    </row>
    <row r="6" spans="1:21" ht="15.5">
      <c r="C6" s="236"/>
      <c r="D6" s="293"/>
      <c r="E6" s="244"/>
      <c r="F6" s="244"/>
      <c r="G6" s="244"/>
      <c r="H6" s="450"/>
      <c r="I6" s="450"/>
      <c r="J6" s="451"/>
      <c r="K6" s="452" t="s">
        <v>243</v>
      </c>
      <c r="L6" s="453"/>
      <c r="M6" s="279"/>
      <c r="N6" s="454">
        <f>VLOOKUP(I10,C17:I73,6)</f>
        <v>83794.43683291944</v>
      </c>
      <c r="O6" s="244"/>
      <c r="P6" s="244"/>
      <c r="R6" s="244"/>
      <c r="S6" s="244"/>
      <c r="T6" s="244"/>
      <c r="U6" s="244"/>
    </row>
    <row r="7" spans="1:21" ht="13.5" thickBot="1">
      <c r="C7" s="455" t="s">
        <v>46</v>
      </c>
      <c r="D7" s="456" t="s">
        <v>191</v>
      </c>
      <c r="E7" s="331"/>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196</v>
      </c>
      <c r="E9" s="466"/>
      <c r="F9" s="466"/>
      <c r="G9" s="466"/>
      <c r="H9" s="466"/>
      <c r="I9" s="467"/>
      <c r="J9" s="468"/>
      <c r="O9" s="469"/>
      <c r="P9" s="279"/>
      <c r="R9" s="244"/>
      <c r="S9" s="244"/>
      <c r="T9" s="244"/>
      <c r="U9" s="244"/>
    </row>
    <row r="10" spans="1:21" ht="13">
      <c r="C10" s="470" t="s">
        <v>49</v>
      </c>
      <c r="D10" s="471">
        <v>723818</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2010</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12</v>
      </c>
      <c r="E12" s="473" t="s">
        <v>55</v>
      </c>
      <c r="F12" s="409"/>
      <c r="G12" s="221"/>
      <c r="H12" s="221"/>
      <c r="I12" s="477">
        <f>'OKT.WS.F.BPU.ATRR.Projected'!$F$78</f>
        <v>0.11475877389767174</v>
      </c>
      <c r="J12" s="414"/>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c r="E14" s="279" t="s">
        <v>62</v>
      </c>
      <c r="F14" s="409"/>
      <c r="G14" s="221"/>
      <c r="H14" s="221"/>
      <c r="I14" s="478">
        <f>IF(D10=0,0,D10/D13)</f>
        <v>21933.878787878788</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489"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IF(D17=F16,"","IU")</f>
        <v>IU</v>
      </c>
      <c r="C17" s="496">
        <f>IF(D11= "","-",D11)</f>
        <v>2010</v>
      </c>
      <c r="D17" s="497">
        <v>767749</v>
      </c>
      <c r="E17" s="498">
        <v>0</v>
      </c>
      <c r="F17" s="497">
        <v>767749</v>
      </c>
      <c r="G17" s="499">
        <v>92753.205799400443</v>
      </c>
      <c r="H17" s="500">
        <v>92753.205799400443</v>
      </c>
      <c r="I17" s="501">
        <f t="shared" ref="I17:I49" si="0">H17-G17</f>
        <v>0</v>
      </c>
      <c r="J17" s="501"/>
      <c r="K17" s="502">
        <f t="shared" ref="K17:K22" si="1">G17</f>
        <v>92753.205799400443</v>
      </c>
      <c r="L17" s="503">
        <f t="shared" ref="L17:L49" si="2">IF(K17&lt;&gt;0,+G17-K17,0)</f>
        <v>0</v>
      </c>
      <c r="M17" s="502">
        <f t="shared" ref="M17:M22" si="3">H17</f>
        <v>92753.205799400443</v>
      </c>
      <c r="N17" s="504">
        <f t="shared" ref="N17:N49" si="4">IF(M17&lt;&gt;0,+H17-M17,0)</f>
        <v>0</v>
      </c>
      <c r="O17" s="505">
        <f t="shared" ref="O17:O49" si="5">+N17-L17</f>
        <v>0</v>
      </c>
      <c r="P17" s="279"/>
      <c r="R17" s="244"/>
      <c r="S17" s="244"/>
      <c r="T17" s="244"/>
      <c r="U17" s="244"/>
    </row>
    <row r="18" spans="2:21" ht="12.5">
      <c r="B18" s="145" t="str">
        <f>IF(D18=F17,"","IU")</f>
        <v/>
      </c>
      <c r="C18" s="496">
        <f>IF(D11="","-",+C17+1)</f>
        <v>2011</v>
      </c>
      <c r="D18" s="506">
        <v>767749</v>
      </c>
      <c r="E18" s="499">
        <v>10981.365584860865</v>
      </c>
      <c r="F18" s="506">
        <v>756767.63441513909</v>
      </c>
      <c r="G18" s="499">
        <v>109365.67160279222</v>
      </c>
      <c r="H18" s="500">
        <v>109365.67160279222</v>
      </c>
      <c r="I18" s="501">
        <f t="shared" si="0"/>
        <v>0</v>
      </c>
      <c r="J18" s="501"/>
      <c r="K18" s="507">
        <f t="shared" si="1"/>
        <v>109365.67160279222</v>
      </c>
      <c r="L18" s="508">
        <f t="shared" si="2"/>
        <v>0</v>
      </c>
      <c r="M18" s="507">
        <f t="shared" si="3"/>
        <v>109365.67160279222</v>
      </c>
      <c r="N18" s="505">
        <f t="shared" si="4"/>
        <v>0</v>
      </c>
      <c r="O18" s="505">
        <f t="shared" si="5"/>
        <v>0</v>
      </c>
      <c r="P18" s="279"/>
      <c r="R18" s="244"/>
      <c r="S18" s="244"/>
      <c r="T18" s="244"/>
      <c r="U18" s="244"/>
    </row>
    <row r="19" spans="2:21" ht="12.5">
      <c r="B19" s="145" t="str">
        <f t="shared" ref="B19:B73" si="6">IF(D19=F18,"","IU")</f>
        <v/>
      </c>
      <c r="C19" s="496">
        <f>IF(D11="","-",+C18+1)</f>
        <v>2012</v>
      </c>
      <c r="D19" s="506">
        <v>756767.63441513909</v>
      </c>
      <c r="E19" s="499">
        <v>12221.81530625035</v>
      </c>
      <c r="F19" s="506">
        <v>744545.81910888874</v>
      </c>
      <c r="G19" s="499">
        <v>84179.959434377466</v>
      </c>
      <c r="H19" s="500">
        <v>84179.959434377466</v>
      </c>
      <c r="I19" s="501">
        <v>0</v>
      </c>
      <c r="J19" s="501"/>
      <c r="K19" s="507">
        <f t="shared" si="1"/>
        <v>84179.959434377466</v>
      </c>
      <c r="L19" s="505">
        <f t="shared" si="2"/>
        <v>0</v>
      </c>
      <c r="M19" s="507">
        <f t="shared" si="3"/>
        <v>84179.959434377466</v>
      </c>
      <c r="N19" s="505">
        <f t="shared" si="4"/>
        <v>0</v>
      </c>
      <c r="O19" s="505">
        <f t="shared" si="5"/>
        <v>0</v>
      </c>
      <c r="P19" s="279"/>
      <c r="R19" s="244"/>
      <c r="S19" s="244"/>
      <c r="T19" s="244"/>
      <c r="U19" s="244"/>
    </row>
    <row r="20" spans="2:21" ht="12.5">
      <c r="B20" s="145" t="str">
        <f t="shared" si="6"/>
        <v>IU</v>
      </c>
      <c r="C20" s="496">
        <f>IF(D11="","-",+C19+1)</f>
        <v>2013</v>
      </c>
      <c r="D20" s="506">
        <v>700614.81910888874</v>
      </c>
      <c r="E20" s="499">
        <v>12521.479662412485</v>
      </c>
      <c r="F20" s="506">
        <v>688093.33944647631</v>
      </c>
      <c r="G20" s="499">
        <v>87689.629791132116</v>
      </c>
      <c r="H20" s="500">
        <v>87689.629791132116</v>
      </c>
      <c r="I20" s="501">
        <v>0</v>
      </c>
      <c r="J20" s="501"/>
      <c r="K20" s="507">
        <f t="shared" si="1"/>
        <v>87689.629791132116</v>
      </c>
      <c r="L20" s="505">
        <f t="shared" ref="L20:L25" si="7">IF(K20&lt;&gt;0,+G20-K20,0)</f>
        <v>0</v>
      </c>
      <c r="M20" s="507">
        <f t="shared" si="3"/>
        <v>87689.629791132116</v>
      </c>
      <c r="N20" s="505">
        <f>IF(M20&lt;&gt;0,+H20-M20,0)</f>
        <v>0</v>
      </c>
      <c r="O20" s="505">
        <f>+N20-L20</f>
        <v>0</v>
      </c>
      <c r="P20" s="279"/>
      <c r="R20" s="244"/>
      <c r="S20" s="244"/>
      <c r="T20" s="244"/>
      <c r="U20" s="244"/>
    </row>
    <row r="21" spans="2:21" ht="12.5">
      <c r="B21" s="145" t="str">
        <f t="shared" si="6"/>
        <v/>
      </c>
      <c r="C21" s="496">
        <f>IF(D12="","-",+C20+1)</f>
        <v>2014</v>
      </c>
      <c r="D21" s="506">
        <v>688093.33944647631</v>
      </c>
      <c r="E21" s="499">
        <v>12521.479662412485</v>
      </c>
      <c r="F21" s="506">
        <v>675571.85978406388</v>
      </c>
      <c r="G21" s="499">
        <v>86852.845850246973</v>
      </c>
      <c r="H21" s="500">
        <v>86852.845850246973</v>
      </c>
      <c r="I21" s="501">
        <v>0</v>
      </c>
      <c r="J21" s="501"/>
      <c r="K21" s="507">
        <f t="shared" si="1"/>
        <v>86852.845850246973</v>
      </c>
      <c r="L21" s="505">
        <f t="shared" si="7"/>
        <v>0</v>
      </c>
      <c r="M21" s="507">
        <f t="shared" si="3"/>
        <v>86852.845850246973</v>
      </c>
      <c r="N21" s="505">
        <f>IF(M21&lt;&gt;0,+H21-M21,0)</f>
        <v>0</v>
      </c>
      <c r="O21" s="505">
        <f>+N21-L21</f>
        <v>0</v>
      </c>
      <c r="P21" s="279"/>
      <c r="R21" s="244"/>
      <c r="S21" s="244"/>
      <c r="T21" s="244"/>
      <c r="U21" s="244"/>
    </row>
    <row r="22" spans="2:21" ht="12.5">
      <c r="B22" s="145" t="str">
        <f t="shared" si="6"/>
        <v/>
      </c>
      <c r="C22" s="496">
        <f>IF(D11="","-",+C21+1)</f>
        <v>2015</v>
      </c>
      <c r="D22" s="506">
        <v>675571.85978406388</v>
      </c>
      <c r="E22" s="499">
        <v>12521.479662412485</v>
      </c>
      <c r="F22" s="506">
        <v>663050.38012165145</v>
      </c>
      <c r="G22" s="499">
        <v>80859.057608604737</v>
      </c>
      <c r="H22" s="500">
        <v>80859.057608604737</v>
      </c>
      <c r="I22" s="501">
        <f t="shared" si="0"/>
        <v>0</v>
      </c>
      <c r="J22" s="501"/>
      <c r="K22" s="507">
        <f t="shared" si="1"/>
        <v>80859.057608604737</v>
      </c>
      <c r="L22" s="505">
        <f t="shared" si="7"/>
        <v>0</v>
      </c>
      <c r="M22" s="507">
        <f t="shared" si="3"/>
        <v>80859.057608604737</v>
      </c>
      <c r="N22" s="505">
        <f>IF(M22&lt;&gt;0,+H22-M22,0)</f>
        <v>0</v>
      </c>
      <c r="O22" s="505">
        <f>+N22-L22</f>
        <v>0</v>
      </c>
      <c r="P22" s="279"/>
      <c r="R22" s="244"/>
      <c r="S22" s="244"/>
      <c r="T22" s="244"/>
      <c r="U22" s="244"/>
    </row>
    <row r="23" spans="2:21" ht="12.5">
      <c r="B23" s="145" t="str">
        <f t="shared" si="6"/>
        <v/>
      </c>
      <c r="C23" s="496">
        <f>IF(D11="","-",+C22+1)</f>
        <v>2016</v>
      </c>
      <c r="D23" s="506">
        <v>663050.38012165145</v>
      </c>
      <c r="E23" s="499">
        <v>15040.542945521509</v>
      </c>
      <c r="F23" s="506">
        <v>648009.83717612992</v>
      </c>
      <c r="G23" s="499">
        <v>84948.083991581108</v>
      </c>
      <c r="H23" s="500">
        <v>84948.083991581108</v>
      </c>
      <c r="I23" s="501">
        <f t="shared" si="0"/>
        <v>0</v>
      </c>
      <c r="J23" s="501"/>
      <c r="K23" s="507">
        <f t="shared" ref="K23:K28" si="8">G23</f>
        <v>84948.083991581108</v>
      </c>
      <c r="L23" s="505">
        <f t="shared" si="7"/>
        <v>0</v>
      </c>
      <c r="M23" s="507">
        <f t="shared" ref="M23:M28" si="9">H23</f>
        <v>84948.083991581108</v>
      </c>
      <c r="N23" s="505">
        <f t="shared" si="4"/>
        <v>0</v>
      </c>
      <c r="O23" s="505">
        <f t="shared" si="5"/>
        <v>0</v>
      </c>
      <c r="P23" s="279"/>
      <c r="R23" s="244"/>
      <c r="S23" s="244"/>
      <c r="T23" s="244"/>
      <c r="U23" s="244"/>
    </row>
    <row r="24" spans="2:21" ht="12.5">
      <c r="B24" s="145" t="str">
        <f t="shared" si="6"/>
        <v/>
      </c>
      <c r="C24" s="496">
        <f>IF(D11="","-",+C23+1)</f>
        <v>2017</v>
      </c>
      <c r="D24" s="506">
        <v>648009.83717612992</v>
      </c>
      <c r="E24" s="499">
        <v>14231.694883080969</v>
      </c>
      <c r="F24" s="506">
        <v>633778.14229304891</v>
      </c>
      <c r="G24" s="499">
        <v>84691.562397354341</v>
      </c>
      <c r="H24" s="500">
        <v>84691.562397354341</v>
      </c>
      <c r="I24" s="501">
        <f t="shared" si="0"/>
        <v>0</v>
      </c>
      <c r="J24" s="501"/>
      <c r="K24" s="507">
        <f t="shared" si="8"/>
        <v>84691.562397354341</v>
      </c>
      <c r="L24" s="505">
        <f t="shared" si="7"/>
        <v>0</v>
      </c>
      <c r="M24" s="507">
        <f t="shared" si="9"/>
        <v>84691.562397354341</v>
      </c>
      <c r="N24" s="505">
        <f>IF(M24&lt;&gt;0,+H24-M24,0)</f>
        <v>0</v>
      </c>
      <c r="O24" s="505">
        <f>+N24-L24</f>
        <v>0</v>
      </c>
      <c r="P24" s="279"/>
      <c r="R24" s="244"/>
      <c r="S24" s="244"/>
      <c r="T24" s="244"/>
      <c r="U24" s="244"/>
    </row>
    <row r="25" spans="2:21" ht="12.5">
      <c r="B25" s="145" t="str">
        <f t="shared" si="6"/>
        <v/>
      </c>
      <c r="C25" s="496">
        <f>IF(D11="","-",+C24+1)</f>
        <v>2018</v>
      </c>
      <c r="D25" s="506">
        <v>633778.14229304891</v>
      </c>
      <c r="E25" s="499">
        <v>17751.333847969061</v>
      </c>
      <c r="F25" s="506">
        <v>616026.80844507983</v>
      </c>
      <c r="G25" s="499">
        <v>81256.204053950511</v>
      </c>
      <c r="H25" s="500">
        <v>81256.204053950511</v>
      </c>
      <c r="I25" s="501">
        <f t="shared" si="0"/>
        <v>0</v>
      </c>
      <c r="J25" s="501"/>
      <c r="K25" s="507">
        <f t="shared" si="8"/>
        <v>81256.204053950511</v>
      </c>
      <c r="L25" s="505">
        <f t="shared" si="7"/>
        <v>0</v>
      </c>
      <c r="M25" s="507">
        <f t="shared" si="9"/>
        <v>81256.204053950511</v>
      </c>
      <c r="N25" s="505">
        <f>IF(M25&lt;&gt;0,+H25-M25,0)</f>
        <v>0</v>
      </c>
      <c r="O25" s="505">
        <f>+N25-L25</f>
        <v>0</v>
      </c>
      <c r="P25" s="279"/>
      <c r="R25" s="244"/>
      <c r="S25" s="244"/>
      <c r="T25" s="244"/>
      <c r="U25" s="244"/>
    </row>
    <row r="26" spans="2:21" ht="12.5">
      <c r="B26" s="145" t="str">
        <f t="shared" si="6"/>
        <v/>
      </c>
      <c r="C26" s="496">
        <f>IF(D11="","-",+C25+1)</f>
        <v>2019</v>
      </c>
      <c r="D26" s="506">
        <v>616026.80844507983</v>
      </c>
      <c r="E26" s="499">
        <v>21467.607261508991</v>
      </c>
      <c r="F26" s="506">
        <v>594559.2011835709</v>
      </c>
      <c r="G26" s="499">
        <v>84379.319531027868</v>
      </c>
      <c r="H26" s="500">
        <v>84379.319531027868</v>
      </c>
      <c r="I26" s="501">
        <f t="shared" si="0"/>
        <v>0</v>
      </c>
      <c r="J26" s="501"/>
      <c r="K26" s="507">
        <f t="shared" si="8"/>
        <v>84379.319531027868</v>
      </c>
      <c r="L26" s="505">
        <f t="shared" ref="L26" si="10">IF(K26&lt;&gt;0,+G26-K26,0)</f>
        <v>0</v>
      </c>
      <c r="M26" s="507">
        <f t="shared" si="9"/>
        <v>84379.319531027868</v>
      </c>
      <c r="N26" s="505">
        <f>IF(M26&lt;&gt;0,+H26-M26,0)</f>
        <v>0</v>
      </c>
      <c r="O26" s="505">
        <f>+N26-L26</f>
        <v>0</v>
      </c>
      <c r="P26" s="279"/>
      <c r="R26" s="244"/>
      <c r="S26" s="244"/>
      <c r="T26" s="244"/>
      <c r="U26" s="244"/>
    </row>
    <row r="27" spans="2:21" ht="12.5">
      <c r="B27" s="145" t="str">
        <f t="shared" si="6"/>
        <v>IU</v>
      </c>
      <c r="C27" s="496">
        <f>IF(D11="","-",+C26+1)</f>
        <v>2020</v>
      </c>
      <c r="D27" s="506">
        <v>598275.47459711076</v>
      </c>
      <c r="E27" s="499">
        <v>21194.679776158337</v>
      </c>
      <c r="F27" s="506">
        <v>577080.79482095246</v>
      </c>
      <c r="G27" s="499">
        <v>82861.19585201345</v>
      </c>
      <c r="H27" s="500">
        <v>82861.19585201345</v>
      </c>
      <c r="I27" s="501">
        <f t="shared" si="0"/>
        <v>0</v>
      </c>
      <c r="J27" s="501"/>
      <c r="K27" s="507">
        <f t="shared" si="8"/>
        <v>82861.19585201345</v>
      </c>
      <c r="L27" s="505">
        <f t="shared" ref="L27" si="11">IF(K27&lt;&gt;0,+G27-K27,0)</f>
        <v>0</v>
      </c>
      <c r="M27" s="507">
        <f t="shared" si="9"/>
        <v>82861.19585201345</v>
      </c>
      <c r="N27" s="505">
        <f>IF(M27&lt;&gt;0,+H27-M27,0)</f>
        <v>0</v>
      </c>
      <c r="O27" s="505">
        <f t="shared" si="5"/>
        <v>0</v>
      </c>
      <c r="P27" s="279"/>
      <c r="R27" s="244"/>
      <c r="S27" s="244"/>
      <c r="T27" s="244"/>
      <c r="U27" s="244"/>
    </row>
    <row r="28" spans="2:21" ht="12.5">
      <c r="B28" s="145" t="str">
        <f t="shared" si="6"/>
        <v>IU</v>
      </c>
      <c r="C28" s="496">
        <f>IF(D11="","-",+C27+1)</f>
        <v>2021</v>
      </c>
      <c r="D28" s="506">
        <v>573364.52140741248</v>
      </c>
      <c r="E28" s="499">
        <v>23348.967741935485</v>
      </c>
      <c r="F28" s="506">
        <v>550015.55366547697</v>
      </c>
      <c r="G28" s="499">
        <v>84115.442190341273</v>
      </c>
      <c r="H28" s="500">
        <v>84115.442190341273</v>
      </c>
      <c r="I28" s="501">
        <f t="shared" si="0"/>
        <v>0</v>
      </c>
      <c r="J28" s="501"/>
      <c r="K28" s="507">
        <f t="shared" si="8"/>
        <v>84115.442190341273</v>
      </c>
      <c r="L28" s="505">
        <f t="shared" ref="L28" si="12">IF(K28&lt;&gt;0,+G28-K28,0)</f>
        <v>0</v>
      </c>
      <c r="M28" s="507">
        <f t="shared" si="9"/>
        <v>84115.442190341273</v>
      </c>
      <c r="N28" s="505">
        <f t="shared" si="4"/>
        <v>0</v>
      </c>
      <c r="O28" s="505">
        <f t="shared" si="5"/>
        <v>0</v>
      </c>
      <c r="P28" s="279"/>
      <c r="R28" s="244"/>
      <c r="S28" s="244"/>
      <c r="T28" s="244"/>
      <c r="U28" s="244"/>
    </row>
    <row r="29" spans="2:21" ht="12.5">
      <c r="B29" s="145" t="str">
        <f t="shared" si="6"/>
        <v/>
      </c>
      <c r="C29" s="496">
        <f>IF(D11="","-",+C28+1)</f>
        <v>2022</v>
      </c>
      <c r="D29" s="506">
        <v>550015.55366547697</v>
      </c>
      <c r="E29" s="499">
        <v>21933.878787878788</v>
      </c>
      <c r="F29" s="506">
        <v>528081.67487759818</v>
      </c>
      <c r="G29" s="499">
        <v>83794.43683291944</v>
      </c>
      <c r="H29" s="500">
        <v>83794.43683291944</v>
      </c>
      <c r="I29" s="501">
        <f t="shared" si="0"/>
        <v>0</v>
      </c>
      <c r="J29" s="501"/>
      <c r="K29" s="507">
        <f t="shared" ref="K29" si="13">G29</f>
        <v>83794.43683291944</v>
      </c>
      <c r="L29" s="505">
        <f t="shared" ref="L29" si="14">IF(K29&lt;&gt;0,+G29-K29,0)</f>
        <v>0</v>
      </c>
      <c r="M29" s="507">
        <f t="shared" ref="M29" si="15">H29</f>
        <v>83794.43683291944</v>
      </c>
      <c r="N29" s="505">
        <f t="shared" si="4"/>
        <v>0</v>
      </c>
      <c r="O29" s="505">
        <f t="shared" si="5"/>
        <v>0</v>
      </c>
      <c r="P29" s="279"/>
      <c r="R29" s="244"/>
      <c r="S29" s="244"/>
      <c r="T29" s="244"/>
      <c r="U29" s="244"/>
    </row>
    <row r="30" spans="2:21" ht="12.5">
      <c r="B30" s="145" t="str">
        <f t="shared" si="6"/>
        <v/>
      </c>
      <c r="C30" s="496">
        <f>IF(D11="","-",+C29+1)</f>
        <v>2023</v>
      </c>
      <c r="D30" s="506">
        <v>528081.67487759818</v>
      </c>
      <c r="E30" s="499">
        <v>23348.967741935485</v>
      </c>
      <c r="F30" s="506">
        <v>504732.70713566267</v>
      </c>
      <c r="G30" s="499">
        <v>81719.946902595548</v>
      </c>
      <c r="H30" s="500">
        <v>81719.946902595548</v>
      </c>
      <c r="I30" s="501">
        <f t="shared" si="0"/>
        <v>0</v>
      </c>
      <c r="J30" s="501"/>
      <c r="K30" s="507">
        <f t="shared" ref="K30" si="16">G30</f>
        <v>81719.946902595548</v>
      </c>
      <c r="L30" s="505">
        <f t="shared" ref="L30" si="17">IF(K30&lt;&gt;0,+G30-K30,0)</f>
        <v>0</v>
      </c>
      <c r="M30" s="507">
        <f t="shared" ref="M30" si="18">H30</f>
        <v>81719.946902595548</v>
      </c>
      <c r="N30" s="505">
        <f t="shared" si="4"/>
        <v>0</v>
      </c>
      <c r="O30" s="505">
        <f t="shared" si="5"/>
        <v>0</v>
      </c>
      <c r="P30" s="279"/>
      <c r="R30" s="244"/>
      <c r="S30" s="244"/>
      <c r="T30" s="244"/>
      <c r="U30" s="244"/>
    </row>
    <row r="31" spans="2:21" ht="12.5">
      <c r="B31" s="145" t="str">
        <f t="shared" si="6"/>
        <v/>
      </c>
      <c r="C31" s="496">
        <f>IF(D11="","-",+C30+1)</f>
        <v>2024</v>
      </c>
      <c r="D31" s="509">
        <f>IF(F30+SUM(E$17:E30)=D$10,F30,D$10-SUM(E$17:E30))</f>
        <v>504732.70713566267</v>
      </c>
      <c r="E31" s="510">
        <f>IF(+I14&lt;F30,I14,D31)</f>
        <v>21933.878787878788</v>
      </c>
      <c r="F31" s="511">
        <f t="shared" ref="F31:F49" si="19">+D31-E31</f>
        <v>482798.82834778388</v>
      </c>
      <c r="G31" s="512">
        <f t="shared" ref="G31:G73" si="20">(D31+F31)/2*I$12+E31</f>
        <v>78597.832886561504</v>
      </c>
      <c r="H31" s="478">
        <f t="shared" ref="H31:H73" si="21">+(D31+F31)/2*I$13+E31</f>
        <v>78597.832886561504</v>
      </c>
      <c r="I31" s="501">
        <f t="shared" si="0"/>
        <v>0</v>
      </c>
      <c r="J31" s="501"/>
      <c r="K31" s="513"/>
      <c r="L31" s="505">
        <f t="shared" si="2"/>
        <v>0</v>
      </c>
      <c r="M31" s="513"/>
      <c r="N31" s="505">
        <f t="shared" si="4"/>
        <v>0</v>
      </c>
      <c r="O31" s="505">
        <f t="shared" si="5"/>
        <v>0</v>
      </c>
      <c r="P31" s="279"/>
      <c r="Q31" s="221"/>
      <c r="R31" s="279"/>
      <c r="S31" s="279"/>
      <c r="T31" s="279"/>
      <c r="U31" s="244"/>
    </row>
    <row r="32" spans="2:21" ht="12.5">
      <c r="C32" s="496">
        <f>IF(D12="","-",+C31+1)</f>
        <v>2025</v>
      </c>
      <c r="D32" s="509">
        <f>IF(F31+SUM(E$17:E31)=D$10,F31,D$10-SUM(E$17:E31))</f>
        <v>482798.82834778388</v>
      </c>
      <c r="E32" s="510">
        <f>IF(+I14&lt;F31,I14,D32)</f>
        <v>21933.878787878788</v>
      </c>
      <c r="F32" s="511">
        <f>+D32-E32</f>
        <v>460864.9495599051</v>
      </c>
      <c r="G32" s="512">
        <f t="shared" si="20"/>
        <v>76080.727850044394</v>
      </c>
      <c r="H32" s="478">
        <f t="shared" si="21"/>
        <v>76080.727850044394</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IF(D33=F31,"","IU")</f>
        <v/>
      </c>
      <c r="C33" s="496">
        <f>IF(D13="","-",+C32+1)</f>
        <v>2026</v>
      </c>
      <c r="D33" s="509">
        <f>IF(F31+SUM(E$17:E31)=D$10,F31,D$10-SUM(E$17:E31))</f>
        <v>482798.82834778388</v>
      </c>
      <c r="E33" s="510">
        <f>IF(+I14&lt;F31,I14,D33)</f>
        <v>21933.878787878788</v>
      </c>
      <c r="F33" s="511">
        <f t="shared" si="19"/>
        <v>460864.9495599051</v>
      </c>
      <c r="G33" s="512">
        <f t="shared" si="20"/>
        <v>76080.727850044394</v>
      </c>
      <c r="H33" s="478">
        <f t="shared" si="21"/>
        <v>76080.727850044394</v>
      </c>
      <c r="I33" s="501">
        <f t="shared" si="0"/>
        <v>0</v>
      </c>
      <c r="J33" s="501"/>
      <c r="K33" s="513"/>
      <c r="L33" s="505">
        <f t="shared" si="2"/>
        <v>0</v>
      </c>
      <c r="M33" s="513"/>
      <c r="N33" s="505">
        <f t="shared" si="4"/>
        <v>0</v>
      </c>
      <c r="O33" s="505">
        <f t="shared" si="5"/>
        <v>0</v>
      </c>
      <c r="P33" s="279"/>
      <c r="R33" s="244"/>
      <c r="S33" s="244"/>
      <c r="T33" s="244"/>
      <c r="U33" s="244"/>
    </row>
    <row r="34" spans="2:21" ht="12.5">
      <c r="B34" s="145" t="str">
        <f>IF(D34=F33,"","IU")</f>
        <v>IU</v>
      </c>
      <c r="C34" s="514">
        <f>IF(D11="","-",+C33+1)</f>
        <v>2027</v>
      </c>
      <c r="D34" s="515">
        <f>IF(F33+SUM(E$17:E33)=D$10,F33,D$10-SUM(E$17:E33))</f>
        <v>438931.07077202632</v>
      </c>
      <c r="E34" s="516">
        <f>IF(+I14&lt;F33,I14,D34)</f>
        <v>21933.878787878788</v>
      </c>
      <c r="F34" s="517">
        <f t="shared" si="19"/>
        <v>416997.19198414753</v>
      </c>
      <c r="G34" s="518">
        <f t="shared" si="20"/>
        <v>71046.517777010144</v>
      </c>
      <c r="H34" s="519">
        <f t="shared" si="21"/>
        <v>71046.517777010144</v>
      </c>
      <c r="I34" s="520">
        <f t="shared" si="0"/>
        <v>0</v>
      </c>
      <c r="J34" s="520"/>
      <c r="K34" s="521"/>
      <c r="L34" s="522">
        <f t="shared" si="2"/>
        <v>0</v>
      </c>
      <c r="M34" s="521"/>
      <c r="N34" s="522">
        <f t="shared" si="4"/>
        <v>0</v>
      </c>
      <c r="O34" s="522">
        <f t="shared" si="5"/>
        <v>0</v>
      </c>
      <c r="P34" s="523"/>
      <c r="Q34" s="217"/>
      <c r="R34" s="523"/>
      <c r="S34" s="523"/>
      <c r="T34" s="523"/>
      <c r="U34" s="244"/>
    </row>
    <row r="35" spans="2:21" ht="12.5">
      <c r="B35" s="145" t="str">
        <f t="shared" si="6"/>
        <v/>
      </c>
      <c r="C35" s="496">
        <f>IF(D11="","-",+C34+1)</f>
        <v>2028</v>
      </c>
      <c r="D35" s="509">
        <f>IF(F34+SUM(E$17:E34)=D$10,F34,D$10-SUM(E$17:E34))</f>
        <v>416997.19198414753</v>
      </c>
      <c r="E35" s="510">
        <f>IF(+I14&lt;F34,I14,D35)</f>
        <v>21933.878787878788</v>
      </c>
      <c r="F35" s="511">
        <f t="shared" si="19"/>
        <v>395063.31319626875</v>
      </c>
      <c r="G35" s="512">
        <f t="shared" si="20"/>
        <v>68529.412740493033</v>
      </c>
      <c r="H35" s="478">
        <f t="shared" si="21"/>
        <v>68529.412740493033</v>
      </c>
      <c r="I35" s="501">
        <f t="shared" si="0"/>
        <v>0</v>
      </c>
      <c r="J35" s="501"/>
      <c r="K35" s="513"/>
      <c r="L35" s="505">
        <f t="shared" si="2"/>
        <v>0</v>
      </c>
      <c r="M35" s="513"/>
      <c r="N35" s="505">
        <f t="shared" si="4"/>
        <v>0</v>
      </c>
      <c r="O35" s="505">
        <f t="shared" si="5"/>
        <v>0</v>
      </c>
      <c r="P35" s="279"/>
      <c r="R35" s="244"/>
      <c r="S35" s="244"/>
      <c r="T35" s="244"/>
      <c r="U35" s="244"/>
    </row>
    <row r="36" spans="2:21" ht="12.5">
      <c r="B36" s="145" t="str">
        <f t="shared" si="6"/>
        <v/>
      </c>
      <c r="C36" s="496">
        <f>IF(D11="","-",+C35+1)</f>
        <v>2029</v>
      </c>
      <c r="D36" s="509">
        <f>IF(F35+SUM(E$17:E35)=D$10,F35,D$10-SUM(E$17:E35))</f>
        <v>395063.31319626875</v>
      </c>
      <c r="E36" s="510">
        <f>IF(+I14&lt;F35,I14,D36)</f>
        <v>21933.878787878788</v>
      </c>
      <c r="F36" s="511">
        <f t="shared" si="19"/>
        <v>373129.43440838996</v>
      </c>
      <c r="G36" s="512">
        <f t="shared" si="20"/>
        <v>66012.307703975908</v>
      </c>
      <c r="H36" s="478">
        <f t="shared" si="21"/>
        <v>66012.307703975908</v>
      </c>
      <c r="I36" s="501">
        <f t="shared" si="0"/>
        <v>0</v>
      </c>
      <c r="J36" s="501"/>
      <c r="K36" s="513"/>
      <c r="L36" s="505">
        <f t="shared" si="2"/>
        <v>0</v>
      </c>
      <c r="M36" s="513"/>
      <c r="N36" s="505">
        <f t="shared" si="4"/>
        <v>0</v>
      </c>
      <c r="O36" s="505">
        <f t="shared" si="5"/>
        <v>0</v>
      </c>
      <c r="P36" s="279"/>
      <c r="R36" s="244"/>
      <c r="S36" s="244"/>
      <c r="T36" s="244"/>
      <c r="U36" s="244"/>
    </row>
    <row r="37" spans="2:21" ht="12.5">
      <c r="B37" s="145" t="str">
        <f t="shared" si="6"/>
        <v/>
      </c>
      <c r="C37" s="496">
        <f>IF(D11="","-",+C36+1)</f>
        <v>2030</v>
      </c>
      <c r="D37" s="509">
        <f>IF(F36+SUM(E$17:E36)=D$10,F36,D$10-SUM(E$17:E36))</f>
        <v>373129.43440838996</v>
      </c>
      <c r="E37" s="510">
        <f>IF(+I14&lt;F36,I14,D37)</f>
        <v>21933.878787878788</v>
      </c>
      <c r="F37" s="511">
        <f t="shared" si="19"/>
        <v>351195.55562051118</v>
      </c>
      <c r="G37" s="512">
        <f t="shared" si="20"/>
        <v>63495.202667458783</v>
      </c>
      <c r="H37" s="478">
        <f t="shared" si="21"/>
        <v>63495.202667458783</v>
      </c>
      <c r="I37" s="501">
        <f t="shared" si="0"/>
        <v>0</v>
      </c>
      <c r="J37" s="501"/>
      <c r="K37" s="513"/>
      <c r="L37" s="505">
        <f t="shared" si="2"/>
        <v>0</v>
      </c>
      <c r="M37" s="513"/>
      <c r="N37" s="505">
        <f t="shared" si="4"/>
        <v>0</v>
      </c>
      <c r="O37" s="505">
        <f t="shared" si="5"/>
        <v>0</v>
      </c>
      <c r="P37" s="279"/>
      <c r="R37" s="244"/>
      <c r="S37" s="244"/>
      <c r="T37" s="244"/>
      <c r="U37" s="244"/>
    </row>
    <row r="38" spans="2:21" ht="12.5">
      <c r="B38" s="145" t="str">
        <f t="shared" si="6"/>
        <v/>
      </c>
      <c r="C38" s="496">
        <f>IF(D11="","-",+C37+1)</f>
        <v>2031</v>
      </c>
      <c r="D38" s="509">
        <f>IF(F37+SUM(E$17:E37)=D$10,F37,D$10-SUM(E$17:E37))</f>
        <v>351195.55562051118</v>
      </c>
      <c r="E38" s="510">
        <f>IF(+I14&lt;F37,I14,D38)</f>
        <v>21933.878787878788</v>
      </c>
      <c r="F38" s="511">
        <f t="shared" si="19"/>
        <v>329261.67683263239</v>
      </c>
      <c r="G38" s="512">
        <f t="shared" si="20"/>
        <v>60978.097630941673</v>
      </c>
      <c r="H38" s="478">
        <f t="shared" si="21"/>
        <v>60978.097630941673</v>
      </c>
      <c r="I38" s="501">
        <f t="shared" si="0"/>
        <v>0</v>
      </c>
      <c r="J38" s="501"/>
      <c r="K38" s="513"/>
      <c r="L38" s="505">
        <f t="shared" si="2"/>
        <v>0</v>
      </c>
      <c r="M38" s="513"/>
      <c r="N38" s="505">
        <f t="shared" si="4"/>
        <v>0</v>
      </c>
      <c r="O38" s="505">
        <f t="shared" si="5"/>
        <v>0</v>
      </c>
      <c r="P38" s="279"/>
      <c r="R38" s="244"/>
      <c r="S38" s="244"/>
      <c r="T38" s="244"/>
      <c r="U38" s="244"/>
    </row>
    <row r="39" spans="2:21" ht="12.5">
      <c r="B39" s="145" t="str">
        <f t="shared" si="6"/>
        <v/>
      </c>
      <c r="C39" s="496">
        <f>IF(D11="","-",+C38+1)</f>
        <v>2032</v>
      </c>
      <c r="D39" s="509">
        <f>IF(F38+SUM(E$17:E38)=D$10,F38,D$10-SUM(E$17:E38))</f>
        <v>329261.67683263239</v>
      </c>
      <c r="E39" s="510">
        <f>IF(+I14&lt;F38,I14,D39)</f>
        <v>21933.878787878788</v>
      </c>
      <c r="F39" s="511">
        <f t="shared" si="19"/>
        <v>307327.79804475361</v>
      </c>
      <c r="G39" s="512">
        <f t="shared" si="20"/>
        <v>58460.992594424548</v>
      </c>
      <c r="H39" s="478">
        <f t="shared" si="21"/>
        <v>58460.992594424548</v>
      </c>
      <c r="I39" s="501">
        <f t="shared" si="0"/>
        <v>0</v>
      </c>
      <c r="J39" s="501"/>
      <c r="K39" s="513"/>
      <c r="L39" s="505">
        <f t="shared" si="2"/>
        <v>0</v>
      </c>
      <c r="M39" s="513"/>
      <c r="N39" s="505">
        <f t="shared" si="4"/>
        <v>0</v>
      </c>
      <c r="O39" s="505">
        <f t="shared" si="5"/>
        <v>0</v>
      </c>
      <c r="P39" s="279"/>
      <c r="R39" s="244"/>
      <c r="S39" s="244"/>
      <c r="T39" s="244"/>
      <c r="U39" s="244"/>
    </row>
    <row r="40" spans="2:21" ht="12.5">
      <c r="B40" s="145" t="str">
        <f t="shared" si="6"/>
        <v/>
      </c>
      <c r="C40" s="496">
        <f>IF(D11="","-",+C39+1)</f>
        <v>2033</v>
      </c>
      <c r="D40" s="509">
        <f>IF(F39+SUM(E$17:E39)=D$10,F39,D$10-SUM(E$17:E39))</f>
        <v>307327.79804475361</v>
      </c>
      <c r="E40" s="510">
        <f>IF(+I14&lt;F39,I14,D40)</f>
        <v>21933.878787878788</v>
      </c>
      <c r="F40" s="511">
        <f t="shared" si="19"/>
        <v>285393.91925687483</v>
      </c>
      <c r="G40" s="512">
        <f t="shared" si="20"/>
        <v>55943.887557907423</v>
      </c>
      <c r="H40" s="478">
        <f t="shared" si="21"/>
        <v>55943.887557907423</v>
      </c>
      <c r="I40" s="501">
        <f t="shared" si="0"/>
        <v>0</v>
      </c>
      <c r="J40" s="501"/>
      <c r="K40" s="513"/>
      <c r="L40" s="505">
        <f t="shared" si="2"/>
        <v>0</v>
      </c>
      <c r="M40" s="513"/>
      <c r="N40" s="505">
        <f t="shared" si="4"/>
        <v>0</v>
      </c>
      <c r="O40" s="505">
        <f t="shared" si="5"/>
        <v>0</v>
      </c>
      <c r="P40" s="279"/>
      <c r="R40" s="244"/>
      <c r="S40" s="244"/>
      <c r="T40" s="244"/>
      <c r="U40" s="244"/>
    </row>
    <row r="41" spans="2:21" ht="12.5">
      <c r="B41" s="145" t="str">
        <f t="shared" si="6"/>
        <v/>
      </c>
      <c r="C41" s="496">
        <f>IF(D12="","-",+C40+1)</f>
        <v>2034</v>
      </c>
      <c r="D41" s="509">
        <f>IF(F40+SUM(E$17:E40)=D$10,F40,D$10-SUM(E$17:E40))</f>
        <v>285393.91925687483</v>
      </c>
      <c r="E41" s="510">
        <f>IF(+I14&lt;F40,I14,D41)</f>
        <v>21933.878787878788</v>
      </c>
      <c r="F41" s="511">
        <f t="shared" si="19"/>
        <v>263460.04046899604</v>
      </c>
      <c r="G41" s="512">
        <f t="shared" si="20"/>
        <v>53426.782521390312</v>
      </c>
      <c r="H41" s="478">
        <f t="shared" si="21"/>
        <v>53426.782521390312</v>
      </c>
      <c r="I41" s="501">
        <f t="shared" si="0"/>
        <v>0</v>
      </c>
      <c r="J41" s="501"/>
      <c r="K41" s="513"/>
      <c r="L41" s="505">
        <f t="shared" si="2"/>
        <v>0</v>
      </c>
      <c r="M41" s="513"/>
      <c r="N41" s="505">
        <f t="shared" si="4"/>
        <v>0</v>
      </c>
      <c r="O41" s="505">
        <f t="shared" si="5"/>
        <v>0</v>
      </c>
      <c r="P41" s="279"/>
      <c r="R41" s="244"/>
      <c r="S41" s="244"/>
      <c r="T41" s="244"/>
      <c r="U41" s="244"/>
    </row>
    <row r="42" spans="2:21" ht="12.5">
      <c r="B42" s="145" t="str">
        <f t="shared" si="6"/>
        <v/>
      </c>
      <c r="C42" s="496">
        <f>IF(D13="","-",+C41+1)</f>
        <v>2035</v>
      </c>
      <c r="D42" s="509">
        <f>IF(F41+SUM(E$17:E41)=D$10,F41,D$10-SUM(E$17:E41))</f>
        <v>263460.04046899604</v>
      </c>
      <c r="E42" s="510">
        <f>IF(+I14&lt;F41,I14,D42)</f>
        <v>21933.878787878788</v>
      </c>
      <c r="F42" s="511">
        <f t="shared" si="19"/>
        <v>241526.16168111726</v>
      </c>
      <c r="G42" s="512">
        <f t="shared" si="20"/>
        <v>50909.677484873187</v>
      </c>
      <c r="H42" s="478">
        <f t="shared" si="21"/>
        <v>50909.677484873187</v>
      </c>
      <c r="I42" s="501">
        <f t="shared" si="0"/>
        <v>0</v>
      </c>
      <c r="J42" s="501"/>
      <c r="K42" s="513"/>
      <c r="L42" s="505">
        <f t="shared" si="2"/>
        <v>0</v>
      </c>
      <c r="M42" s="513"/>
      <c r="N42" s="505">
        <f t="shared" si="4"/>
        <v>0</v>
      </c>
      <c r="O42" s="505">
        <f t="shared" si="5"/>
        <v>0</v>
      </c>
      <c r="P42" s="279"/>
      <c r="R42" s="244"/>
      <c r="S42" s="244"/>
      <c r="T42" s="244"/>
      <c r="U42" s="244"/>
    </row>
    <row r="43" spans="2:21" ht="12.5">
      <c r="B43" s="145" t="str">
        <f t="shared" si="6"/>
        <v/>
      </c>
      <c r="C43" s="496">
        <f>IF(D11="","-",+C42+1)</f>
        <v>2036</v>
      </c>
      <c r="D43" s="509">
        <f>IF(F42+SUM(E$17:E42)=D$10,F42,D$10-SUM(E$17:E42))</f>
        <v>241526.16168111726</v>
      </c>
      <c r="E43" s="510">
        <f>IF(+I14&lt;F42,I14,D43)</f>
        <v>21933.878787878788</v>
      </c>
      <c r="F43" s="511">
        <f t="shared" si="19"/>
        <v>219592.28289323847</v>
      </c>
      <c r="G43" s="512">
        <f t="shared" si="20"/>
        <v>48392.57244835607</v>
      </c>
      <c r="H43" s="478">
        <f t="shared" si="21"/>
        <v>48392.57244835607</v>
      </c>
      <c r="I43" s="501">
        <f t="shared" si="0"/>
        <v>0</v>
      </c>
      <c r="J43" s="501"/>
      <c r="K43" s="513"/>
      <c r="L43" s="505">
        <f t="shared" si="2"/>
        <v>0</v>
      </c>
      <c r="M43" s="513"/>
      <c r="N43" s="505">
        <f t="shared" si="4"/>
        <v>0</v>
      </c>
      <c r="O43" s="505">
        <f t="shared" si="5"/>
        <v>0</v>
      </c>
      <c r="P43" s="279"/>
      <c r="R43" s="244"/>
      <c r="S43" s="244"/>
      <c r="T43" s="244"/>
      <c r="U43" s="244"/>
    </row>
    <row r="44" spans="2:21" ht="12.5">
      <c r="B44" s="145" t="str">
        <f t="shared" si="6"/>
        <v/>
      </c>
      <c r="C44" s="496">
        <f>IF(D11="","-",+C43+1)</f>
        <v>2037</v>
      </c>
      <c r="D44" s="509">
        <f>IF(F43+SUM(E$17:E43)=D$10,F43,D$10-SUM(E$17:E43))</f>
        <v>219592.28289323847</v>
      </c>
      <c r="E44" s="510">
        <f>IF(+I14&lt;F43,I14,D44)</f>
        <v>21933.878787878788</v>
      </c>
      <c r="F44" s="511">
        <f t="shared" si="19"/>
        <v>197658.40410535969</v>
      </c>
      <c r="G44" s="512">
        <f t="shared" si="20"/>
        <v>45875.467411838952</v>
      </c>
      <c r="H44" s="478">
        <f t="shared" si="21"/>
        <v>45875.467411838952</v>
      </c>
      <c r="I44" s="501">
        <f t="shared" si="0"/>
        <v>0</v>
      </c>
      <c r="J44" s="501"/>
      <c r="K44" s="513"/>
      <c r="L44" s="505">
        <f t="shared" si="2"/>
        <v>0</v>
      </c>
      <c r="M44" s="513"/>
      <c r="N44" s="505">
        <f t="shared" si="4"/>
        <v>0</v>
      </c>
      <c r="O44" s="505">
        <f t="shared" si="5"/>
        <v>0</v>
      </c>
      <c r="P44" s="279"/>
      <c r="R44" s="244"/>
      <c r="S44" s="244"/>
      <c r="T44" s="244"/>
      <c r="U44" s="244"/>
    </row>
    <row r="45" spans="2:21" ht="12.5">
      <c r="B45" s="145" t="str">
        <f t="shared" si="6"/>
        <v/>
      </c>
      <c r="C45" s="496">
        <f>IF(D11="","-",+C44+1)</f>
        <v>2038</v>
      </c>
      <c r="D45" s="509">
        <f>IF(F44+SUM(E$17:E44)=D$10,F44,D$10-SUM(E$17:E44))</f>
        <v>197658.40410535969</v>
      </c>
      <c r="E45" s="510">
        <f>IF(+I14&lt;F44,I14,D45)</f>
        <v>21933.878787878788</v>
      </c>
      <c r="F45" s="511">
        <f t="shared" si="19"/>
        <v>175724.5253174809</v>
      </c>
      <c r="G45" s="512">
        <f t="shared" si="20"/>
        <v>43358.362375321827</v>
      </c>
      <c r="H45" s="478">
        <f t="shared" si="21"/>
        <v>43358.362375321827</v>
      </c>
      <c r="I45" s="501">
        <f t="shared" si="0"/>
        <v>0</v>
      </c>
      <c r="J45" s="501"/>
      <c r="K45" s="513"/>
      <c r="L45" s="505">
        <f t="shared" si="2"/>
        <v>0</v>
      </c>
      <c r="M45" s="513"/>
      <c r="N45" s="505">
        <f t="shared" si="4"/>
        <v>0</v>
      </c>
      <c r="O45" s="505">
        <f t="shared" si="5"/>
        <v>0</v>
      </c>
      <c r="P45" s="279"/>
      <c r="R45" s="244"/>
      <c r="S45" s="244"/>
      <c r="T45" s="244"/>
      <c r="U45" s="244"/>
    </row>
    <row r="46" spans="2:21" ht="12.5">
      <c r="B46" s="145" t="str">
        <f t="shared" si="6"/>
        <v/>
      </c>
      <c r="C46" s="496">
        <f>IF(D11="","-",+C45+1)</f>
        <v>2039</v>
      </c>
      <c r="D46" s="509">
        <f>IF(F45+SUM(E$17:E45)=D$10,F45,D$10-SUM(E$17:E45))</f>
        <v>175724.5253174809</v>
      </c>
      <c r="E46" s="510">
        <f>IF(+I14&lt;F45,I14,D46)</f>
        <v>21933.878787878788</v>
      </c>
      <c r="F46" s="511">
        <f t="shared" si="19"/>
        <v>153790.64652960212</v>
      </c>
      <c r="G46" s="512">
        <f t="shared" si="20"/>
        <v>40841.257338804717</v>
      </c>
      <c r="H46" s="478">
        <f t="shared" si="21"/>
        <v>40841.257338804717</v>
      </c>
      <c r="I46" s="501">
        <f t="shared" si="0"/>
        <v>0</v>
      </c>
      <c r="J46" s="501"/>
      <c r="K46" s="513"/>
      <c r="L46" s="505">
        <f t="shared" si="2"/>
        <v>0</v>
      </c>
      <c r="M46" s="513"/>
      <c r="N46" s="505">
        <f t="shared" si="4"/>
        <v>0</v>
      </c>
      <c r="O46" s="505">
        <f t="shared" si="5"/>
        <v>0</v>
      </c>
      <c r="P46" s="279"/>
      <c r="R46" s="244"/>
      <c r="S46" s="244"/>
      <c r="T46" s="244"/>
      <c r="U46" s="244"/>
    </row>
    <row r="47" spans="2:21" ht="12.5">
      <c r="B47" s="145" t="str">
        <f t="shared" si="6"/>
        <v/>
      </c>
      <c r="C47" s="496">
        <f>IF(D11="","-",+C46+1)</f>
        <v>2040</v>
      </c>
      <c r="D47" s="509">
        <f>IF(F46+SUM(E$17:E46)=D$10,F46,D$10-SUM(E$17:E46))</f>
        <v>153790.64652960212</v>
      </c>
      <c r="E47" s="510">
        <f>IF(+I14&lt;F46,I14,D47)</f>
        <v>21933.878787878788</v>
      </c>
      <c r="F47" s="511">
        <f t="shared" si="19"/>
        <v>131856.76774172334</v>
      </c>
      <c r="G47" s="512">
        <f t="shared" si="20"/>
        <v>38324.152302287592</v>
      </c>
      <c r="H47" s="478">
        <f t="shared" si="21"/>
        <v>38324.152302287592</v>
      </c>
      <c r="I47" s="501">
        <f t="shared" si="0"/>
        <v>0</v>
      </c>
      <c r="J47" s="501"/>
      <c r="K47" s="513"/>
      <c r="L47" s="505">
        <f t="shared" si="2"/>
        <v>0</v>
      </c>
      <c r="M47" s="513"/>
      <c r="N47" s="505">
        <f t="shared" si="4"/>
        <v>0</v>
      </c>
      <c r="O47" s="505">
        <f t="shared" si="5"/>
        <v>0</v>
      </c>
      <c r="P47" s="279"/>
      <c r="R47" s="244"/>
      <c r="S47" s="244"/>
      <c r="T47" s="244"/>
      <c r="U47" s="244"/>
    </row>
    <row r="48" spans="2:21" ht="12.5">
      <c r="B48" s="145" t="str">
        <f t="shared" si="6"/>
        <v/>
      </c>
      <c r="C48" s="496">
        <f>IF(D11="","-",+C47+1)</f>
        <v>2041</v>
      </c>
      <c r="D48" s="509">
        <f>IF(F47+SUM(E$17:E47)=D$10,F47,D$10-SUM(E$17:E47))</f>
        <v>131856.76774172334</v>
      </c>
      <c r="E48" s="510">
        <f>IF(+I14&lt;F47,I14,D48)</f>
        <v>21933.878787878788</v>
      </c>
      <c r="F48" s="511">
        <f t="shared" si="19"/>
        <v>109922.88895384455</v>
      </c>
      <c r="G48" s="512">
        <f t="shared" si="20"/>
        <v>35807.047265770474</v>
      </c>
      <c r="H48" s="478">
        <f t="shared" si="21"/>
        <v>35807.047265770474</v>
      </c>
      <c r="I48" s="501">
        <f t="shared" si="0"/>
        <v>0</v>
      </c>
      <c r="J48" s="501"/>
      <c r="K48" s="513"/>
      <c r="L48" s="505">
        <f t="shared" si="2"/>
        <v>0</v>
      </c>
      <c r="M48" s="513"/>
      <c r="N48" s="505">
        <f t="shared" si="4"/>
        <v>0</v>
      </c>
      <c r="O48" s="505">
        <f t="shared" si="5"/>
        <v>0</v>
      </c>
      <c r="P48" s="279"/>
      <c r="R48" s="244"/>
      <c r="S48" s="244"/>
      <c r="T48" s="244"/>
      <c r="U48" s="244"/>
    </row>
    <row r="49" spans="2:21" ht="12.5">
      <c r="B49" s="145" t="str">
        <f t="shared" si="6"/>
        <v/>
      </c>
      <c r="C49" s="496">
        <f>IF(D11="","-",+C48+1)</f>
        <v>2042</v>
      </c>
      <c r="D49" s="509">
        <f>IF(F48+SUM(E$17:E48)=D$10,F48,D$10-SUM(E$17:E48))</f>
        <v>109922.88895384455</v>
      </c>
      <c r="E49" s="510">
        <f>IF(+I14&lt;F48,I14,D49)</f>
        <v>21933.878787878788</v>
      </c>
      <c r="F49" s="511">
        <f t="shared" si="19"/>
        <v>87989.010165965767</v>
      </c>
      <c r="G49" s="512">
        <f t="shared" si="20"/>
        <v>33289.942229253356</v>
      </c>
      <c r="H49" s="478">
        <f t="shared" si="21"/>
        <v>33289.942229253356</v>
      </c>
      <c r="I49" s="501">
        <f t="shared" si="0"/>
        <v>0</v>
      </c>
      <c r="J49" s="501"/>
      <c r="K49" s="513"/>
      <c r="L49" s="505">
        <f t="shared" si="2"/>
        <v>0</v>
      </c>
      <c r="M49" s="513"/>
      <c r="N49" s="505">
        <f t="shared" si="4"/>
        <v>0</v>
      </c>
      <c r="O49" s="505">
        <f t="shared" si="5"/>
        <v>0</v>
      </c>
      <c r="P49" s="279"/>
      <c r="R49" s="244"/>
      <c r="S49" s="244"/>
      <c r="T49" s="244"/>
      <c r="U49" s="244"/>
    </row>
    <row r="50" spans="2:21" ht="12.5">
      <c r="B50" s="145" t="str">
        <f t="shared" si="6"/>
        <v/>
      </c>
      <c r="C50" s="496">
        <f>IF(D11="","-",+C49+1)</f>
        <v>2043</v>
      </c>
      <c r="D50" s="509">
        <f>IF(F49+SUM(E$17:E49)=D$10,F49,D$10-SUM(E$17:E49))</f>
        <v>87989.010165965767</v>
      </c>
      <c r="E50" s="510">
        <f>IF(+I14&lt;F49,I14,D50)</f>
        <v>21933.878787878788</v>
      </c>
      <c r="F50" s="511">
        <f t="shared" ref="F50:F73" si="22">+D50-E50</f>
        <v>66055.131378086982</v>
      </c>
      <c r="G50" s="512">
        <f t="shared" si="20"/>
        <v>30772.837192736231</v>
      </c>
      <c r="H50" s="478">
        <f t="shared" si="21"/>
        <v>30772.837192736231</v>
      </c>
      <c r="I50" s="501">
        <f t="shared" ref="I50:I73" si="23">H50-G50</f>
        <v>0</v>
      </c>
      <c r="J50" s="501"/>
      <c r="K50" s="513"/>
      <c r="L50" s="505">
        <f t="shared" ref="L50:L73" si="24">IF(K50&lt;&gt;0,+G50-K50,0)</f>
        <v>0</v>
      </c>
      <c r="M50" s="513"/>
      <c r="N50" s="505">
        <f t="shared" ref="N50:N73" si="25">IF(M50&lt;&gt;0,+H50-M50,0)</f>
        <v>0</v>
      </c>
      <c r="O50" s="505">
        <f t="shared" ref="O50:O73" si="26">+N50-L50</f>
        <v>0</v>
      </c>
      <c r="P50" s="279"/>
      <c r="R50" s="244"/>
      <c r="S50" s="244"/>
      <c r="T50" s="244"/>
      <c r="U50" s="244"/>
    </row>
    <row r="51" spans="2:21" ht="12.5">
      <c r="B51" s="145" t="str">
        <f t="shared" si="6"/>
        <v/>
      </c>
      <c r="C51" s="496">
        <f>IF(D11="","-",+C50+1)</f>
        <v>2044</v>
      </c>
      <c r="D51" s="509">
        <f>IF(F50+SUM(E$17:E50)=D$10,F50,D$10-SUM(E$17:E50))</f>
        <v>66055.131378086982</v>
      </c>
      <c r="E51" s="510">
        <f>IF(+I14&lt;F50,I14,D51)</f>
        <v>21933.878787878788</v>
      </c>
      <c r="F51" s="511">
        <f t="shared" si="22"/>
        <v>44121.252590208198</v>
      </c>
      <c r="G51" s="512">
        <f t="shared" si="20"/>
        <v>28255.732156219114</v>
      </c>
      <c r="H51" s="478">
        <f t="shared" si="21"/>
        <v>28255.732156219114</v>
      </c>
      <c r="I51" s="501">
        <f t="shared" si="23"/>
        <v>0</v>
      </c>
      <c r="J51" s="501"/>
      <c r="K51" s="513"/>
      <c r="L51" s="505">
        <f t="shared" si="24"/>
        <v>0</v>
      </c>
      <c r="M51" s="513"/>
      <c r="N51" s="505">
        <f t="shared" si="25"/>
        <v>0</v>
      </c>
      <c r="O51" s="505">
        <f t="shared" si="26"/>
        <v>0</v>
      </c>
      <c r="P51" s="279"/>
      <c r="R51" s="244"/>
      <c r="S51" s="244"/>
      <c r="T51" s="244"/>
      <c r="U51" s="244"/>
    </row>
    <row r="52" spans="2:21" ht="12.5">
      <c r="B52" s="145" t="str">
        <f t="shared" si="6"/>
        <v/>
      </c>
      <c r="C52" s="496">
        <f>IF(D11="","-",+C51+1)</f>
        <v>2045</v>
      </c>
      <c r="D52" s="509">
        <f>IF(F51+SUM(E$17:E51)=D$10,F51,D$10-SUM(E$17:E51))</f>
        <v>44121.252590208198</v>
      </c>
      <c r="E52" s="510">
        <f>IF(+I14&lt;F51,I14,D52)</f>
        <v>21933.878787878788</v>
      </c>
      <c r="F52" s="511">
        <f t="shared" si="22"/>
        <v>22187.37380232941</v>
      </c>
      <c r="G52" s="512">
        <f t="shared" si="20"/>
        <v>25738.627119701996</v>
      </c>
      <c r="H52" s="478">
        <f t="shared" si="21"/>
        <v>25738.627119701996</v>
      </c>
      <c r="I52" s="501">
        <f t="shared" si="23"/>
        <v>0</v>
      </c>
      <c r="J52" s="501"/>
      <c r="K52" s="513"/>
      <c r="L52" s="505">
        <f t="shared" si="24"/>
        <v>0</v>
      </c>
      <c r="M52" s="513"/>
      <c r="N52" s="505">
        <f t="shared" si="25"/>
        <v>0</v>
      </c>
      <c r="O52" s="505">
        <f t="shared" si="26"/>
        <v>0</v>
      </c>
      <c r="P52" s="279"/>
      <c r="R52" s="244"/>
      <c r="S52" s="244"/>
      <c r="T52" s="244"/>
      <c r="U52" s="244"/>
    </row>
    <row r="53" spans="2:21" ht="12.5">
      <c r="B53" s="145" t="str">
        <f t="shared" si="6"/>
        <v/>
      </c>
      <c r="C53" s="496">
        <f>IF(D11="","-",+C52+1)</f>
        <v>2046</v>
      </c>
      <c r="D53" s="509">
        <f>IF(F52+SUM(E$17:E52)=D$10,F52,D$10-SUM(E$17:E52))</f>
        <v>22187.37380232941</v>
      </c>
      <c r="E53" s="510">
        <f>IF(+I14&lt;F52,I14,D53)</f>
        <v>21933.878787878788</v>
      </c>
      <c r="F53" s="511">
        <f t="shared" si="22"/>
        <v>253.49501445062197</v>
      </c>
      <c r="G53" s="512">
        <f t="shared" si="20"/>
        <v>23221.522083184875</v>
      </c>
      <c r="H53" s="478">
        <f t="shared" si="21"/>
        <v>23221.522083184875</v>
      </c>
      <c r="I53" s="501">
        <f t="shared" si="23"/>
        <v>0</v>
      </c>
      <c r="J53" s="501"/>
      <c r="K53" s="513"/>
      <c r="L53" s="505">
        <f t="shared" si="24"/>
        <v>0</v>
      </c>
      <c r="M53" s="513"/>
      <c r="N53" s="505">
        <f t="shared" si="25"/>
        <v>0</v>
      </c>
      <c r="O53" s="505">
        <f t="shared" si="26"/>
        <v>0</v>
      </c>
      <c r="P53" s="279"/>
      <c r="R53" s="244"/>
      <c r="S53" s="244"/>
      <c r="T53" s="244"/>
      <c r="U53" s="244"/>
    </row>
    <row r="54" spans="2:21" ht="12.5">
      <c r="B54" s="145" t="str">
        <f t="shared" si="6"/>
        <v/>
      </c>
      <c r="C54" s="496">
        <f>IF(D11="","-",+C53+1)</f>
        <v>2047</v>
      </c>
      <c r="D54" s="509">
        <f>IF(F53+SUM(E$17:E53)=D$10,F53,D$10-SUM(E$17:E53))</f>
        <v>253.49501445062197</v>
      </c>
      <c r="E54" s="510">
        <f>IF(+I14&lt;F53,I14,D54)</f>
        <v>253.49501445062197</v>
      </c>
      <c r="F54" s="511">
        <f t="shared" si="22"/>
        <v>0</v>
      </c>
      <c r="G54" s="512">
        <f t="shared" si="20"/>
        <v>268.04040297438496</v>
      </c>
      <c r="H54" s="478">
        <f t="shared" si="21"/>
        <v>268.04040297438496</v>
      </c>
      <c r="I54" s="501">
        <f t="shared" si="23"/>
        <v>0</v>
      </c>
      <c r="J54" s="501"/>
      <c r="K54" s="513"/>
      <c r="L54" s="505">
        <f t="shared" si="24"/>
        <v>0</v>
      </c>
      <c r="M54" s="513"/>
      <c r="N54" s="505">
        <f t="shared" si="25"/>
        <v>0</v>
      </c>
      <c r="O54" s="505">
        <f t="shared" si="26"/>
        <v>0</v>
      </c>
      <c r="P54" s="279"/>
      <c r="R54" s="244"/>
      <c r="S54" s="244"/>
      <c r="T54" s="244"/>
      <c r="U54" s="244"/>
    </row>
    <row r="55" spans="2:21" ht="12.5">
      <c r="B55" s="145" t="str">
        <f t="shared" si="6"/>
        <v/>
      </c>
      <c r="C55" s="496">
        <f>IF(D11="","-",+C54+1)</f>
        <v>2048</v>
      </c>
      <c r="D55" s="509">
        <f>IF(F54+SUM(E$17:E54)=D$10,F54,D$10-SUM(E$17:E54))</f>
        <v>0</v>
      </c>
      <c r="E55" s="510">
        <f>IF(+I14&lt;F54,I14,D55)</f>
        <v>0</v>
      </c>
      <c r="F55" s="511">
        <f t="shared" si="22"/>
        <v>0</v>
      </c>
      <c r="G55" s="512">
        <f t="shared" si="20"/>
        <v>0</v>
      </c>
      <c r="H55" s="478">
        <f t="shared" si="21"/>
        <v>0</v>
      </c>
      <c r="I55" s="501">
        <f t="shared" si="23"/>
        <v>0</v>
      </c>
      <c r="J55" s="501"/>
      <c r="K55" s="513"/>
      <c r="L55" s="505">
        <f t="shared" si="24"/>
        <v>0</v>
      </c>
      <c r="M55" s="513"/>
      <c r="N55" s="505">
        <f t="shared" si="25"/>
        <v>0</v>
      </c>
      <c r="O55" s="505">
        <f t="shared" si="26"/>
        <v>0</v>
      </c>
      <c r="P55" s="279"/>
      <c r="R55" s="244"/>
      <c r="S55" s="244"/>
      <c r="T55" s="244"/>
      <c r="U55" s="244"/>
    </row>
    <row r="56" spans="2:21" ht="12.5">
      <c r="B56" s="145" t="str">
        <f t="shared" si="6"/>
        <v/>
      </c>
      <c r="C56" s="496">
        <f>IF(D11="","-",+C55+1)</f>
        <v>2049</v>
      </c>
      <c r="D56" s="509">
        <f>IF(F55+SUM(E$17:E55)=D$10,F55,D$10-SUM(E$17:E55))</f>
        <v>0</v>
      </c>
      <c r="E56" s="510">
        <f>IF(+I14&lt;F55,I14,D56)</f>
        <v>0</v>
      </c>
      <c r="F56" s="511">
        <f t="shared" si="22"/>
        <v>0</v>
      </c>
      <c r="G56" s="512">
        <f t="shared" si="20"/>
        <v>0</v>
      </c>
      <c r="H56" s="478">
        <f t="shared" si="21"/>
        <v>0</v>
      </c>
      <c r="I56" s="501">
        <f t="shared" si="23"/>
        <v>0</v>
      </c>
      <c r="J56" s="501"/>
      <c r="K56" s="513"/>
      <c r="L56" s="505">
        <f t="shared" si="24"/>
        <v>0</v>
      </c>
      <c r="M56" s="513"/>
      <c r="N56" s="505">
        <f t="shared" si="25"/>
        <v>0</v>
      </c>
      <c r="O56" s="505">
        <f t="shared" si="26"/>
        <v>0</v>
      </c>
      <c r="P56" s="279"/>
      <c r="R56" s="244"/>
      <c r="S56" s="244"/>
      <c r="T56" s="244"/>
      <c r="U56" s="244"/>
    </row>
    <row r="57" spans="2:21" ht="12.5">
      <c r="B57" s="145" t="str">
        <f t="shared" si="6"/>
        <v/>
      </c>
      <c r="C57" s="496">
        <f>IF(D11="","-",+C56+1)</f>
        <v>2050</v>
      </c>
      <c r="D57" s="509">
        <f>IF(F56+SUM(E$17:E56)=D$10,F56,D$10-SUM(E$17:E56))</f>
        <v>0</v>
      </c>
      <c r="E57" s="510">
        <f>IF(+I14&lt;F56,I14,D57)</f>
        <v>0</v>
      </c>
      <c r="F57" s="511">
        <f t="shared" si="22"/>
        <v>0</v>
      </c>
      <c r="G57" s="512">
        <f t="shared" si="20"/>
        <v>0</v>
      </c>
      <c r="H57" s="478">
        <f t="shared" si="21"/>
        <v>0</v>
      </c>
      <c r="I57" s="501">
        <f t="shared" si="23"/>
        <v>0</v>
      </c>
      <c r="J57" s="501"/>
      <c r="K57" s="513"/>
      <c r="L57" s="505">
        <f t="shared" si="24"/>
        <v>0</v>
      </c>
      <c r="M57" s="513"/>
      <c r="N57" s="505">
        <f t="shared" si="25"/>
        <v>0</v>
      </c>
      <c r="O57" s="505">
        <f t="shared" si="26"/>
        <v>0</v>
      </c>
      <c r="P57" s="279"/>
      <c r="R57" s="244"/>
      <c r="S57" s="244"/>
      <c r="T57" s="244"/>
      <c r="U57" s="244"/>
    </row>
    <row r="58" spans="2:21" ht="12.5">
      <c r="B58" s="145" t="str">
        <f t="shared" si="6"/>
        <v/>
      </c>
      <c r="C58" s="496">
        <f>IF(D11="","-",+C57+1)</f>
        <v>2051</v>
      </c>
      <c r="D58" s="509">
        <f>IF(F57+SUM(E$17:E57)=D$10,F57,D$10-SUM(E$17:E57))</f>
        <v>0</v>
      </c>
      <c r="E58" s="510">
        <f>IF(+I14&lt;F57,I14,D58)</f>
        <v>0</v>
      </c>
      <c r="F58" s="511">
        <f t="shared" si="22"/>
        <v>0</v>
      </c>
      <c r="G58" s="512">
        <f t="shared" si="20"/>
        <v>0</v>
      </c>
      <c r="H58" s="478">
        <f t="shared" si="21"/>
        <v>0</v>
      </c>
      <c r="I58" s="501">
        <f t="shared" si="23"/>
        <v>0</v>
      </c>
      <c r="J58" s="501"/>
      <c r="K58" s="513"/>
      <c r="L58" s="505">
        <f t="shared" si="24"/>
        <v>0</v>
      </c>
      <c r="M58" s="513"/>
      <c r="N58" s="505">
        <f t="shared" si="25"/>
        <v>0</v>
      </c>
      <c r="O58" s="505">
        <f t="shared" si="26"/>
        <v>0</v>
      </c>
      <c r="P58" s="279"/>
      <c r="R58" s="244"/>
      <c r="S58" s="244"/>
      <c r="T58" s="244"/>
      <c r="U58" s="244"/>
    </row>
    <row r="59" spans="2:21" ht="12.5">
      <c r="B59" s="145" t="str">
        <f t="shared" si="6"/>
        <v/>
      </c>
      <c r="C59" s="496">
        <f>IF(D11="","-",+C58+1)</f>
        <v>2052</v>
      </c>
      <c r="D59" s="509">
        <f>IF(F58+SUM(E$17:E58)=D$10,F58,D$10-SUM(E$17:E58))</f>
        <v>0</v>
      </c>
      <c r="E59" s="510">
        <f>IF(+I14&lt;F58,I14,D59)</f>
        <v>0</v>
      </c>
      <c r="F59" s="511">
        <f t="shared" si="22"/>
        <v>0</v>
      </c>
      <c r="G59" s="512">
        <f t="shared" si="20"/>
        <v>0</v>
      </c>
      <c r="H59" s="478">
        <f t="shared" si="21"/>
        <v>0</v>
      </c>
      <c r="I59" s="501">
        <f t="shared" si="23"/>
        <v>0</v>
      </c>
      <c r="J59" s="501"/>
      <c r="K59" s="513"/>
      <c r="L59" s="505">
        <f t="shared" si="24"/>
        <v>0</v>
      </c>
      <c r="M59" s="513"/>
      <c r="N59" s="505">
        <f t="shared" si="25"/>
        <v>0</v>
      </c>
      <c r="O59" s="505">
        <f t="shared" si="26"/>
        <v>0</v>
      </c>
      <c r="P59" s="279"/>
      <c r="R59" s="244"/>
      <c r="S59" s="244"/>
      <c r="T59" s="244"/>
      <c r="U59" s="244"/>
    </row>
    <row r="60" spans="2:21" ht="12.5">
      <c r="B60" s="145" t="str">
        <f t="shared" si="6"/>
        <v/>
      </c>
      <c r="C60" s="496">
        <f>IF(D11="","-",+C59+1)</f>
        <v>2053</v>
      </c>
      <c r="D60" s="509">
        <f>IF(F59+SUM(E$17:E59)=D$10,F59,D$10-SUM(E$17:E59))</f>
        <v>0</v>
      </c>
      <c r="E60" s="510">
        <f>IF(+I14&lt;F59,I14,D60)</f>
        <v>0</v>
      </c>
      <c r="F60" s="511">
        <f t="shared" si="22"/>
        <v>0</v>
      </c>
      <c r="G60" s="512">
        <f t="shared" si="20"/>
        <v>0</v>
      </c>
      <c r="H60" s="478">
        <f t="shared" si="21"/>
        <v>0</v>
      </c>
      <c r="I60" s="501">
        <f t="shared" si="23"/>
        <v>0</v>
      </c>
      <c r="J60" s="501"/>
      <c r="K60" s="513"/>
      <c r="L60" s="505">
        <f t="shared" si="24"/>
        <v>0</v>
      </c>
      <c r="M60" s="513"/>
      <c r="N60" s="505">
        <f t="shared" si="25"/>
        <v>0</v>
      </c>
      <c r="O60" s="505">
        <f t="shared" si="26"/>
        <v>0</v>
      </c>
      <c r="P60" s="279"/>
      <c r="R60" s="244"/>
      <c r="S60" s="244"/>
      <c r="T60" s="244"/>
      <c r="U60" s="244"/>
    </row>
    <row r="61" spans="2:21" ht="12.5">
      <c r="B61" s="145" t="str">
        <f t="shared" si="6"/>
        <v/>
      </c>
      <c r="C61" s="496">
        <f>IF(D11="","-",+C60+1)</f>
        <v>2054</v>
      </c>
      <c r="D61" s="509">
        <f>IF(F60+SUM(E$17:E60)=D$10,F60,D$10-SUM(E$17:E60))</f>
        <v>0</v>
      </c>
      <c r="E61" s="510">
        <f>IF(+I14&lt;F60,I14,D61)</f>
        <v>0</v>
      </c>
      <c r="F61" s="511">
        <f t="shared" si="22"/>
        <v>0</v>
      </c>
      <c r="G61" s="512">
        <f t="shared" si="20"/>
        <v>0</v>
      </c>
      <c r="H61" s="478">
        <f t="shared" si="21"/>
        <v>0</v>
      </c>
      <c r="I61" s="501">
        <f t="shared" si="23"/>
        <v>0</v>
      </c>
      <c r="J61" s="501"/>
      <c r="K61" s="513"/>
      <c r="L61" s="505">
        <f t="shared" si="24"/>
        <v>0</v>
      </c>
      <c r="M61" s="513"/>
      <c r="N61" s="505">
        <f t="shared" si="25"/>
        <v>0</v>
      </c>
      <c r="O61" s="505">
        <f t="shared" si="26"/>
        <v>0</v>
      </c>
      <c r="P61" s="279"/>
      <c r="R61" s="244"/>
      <c r="S61" s="244"/>
      <c r="T61" s="244"/>
      <c r="U61" s="244"/>
    </row>
    <row r="62" spans="2:21" ht="12.5">
      <c r="B62" s="145" t="str">
        <f t="shared" si="6"/>
        <v/>
      </c>
      <c r="C62" s="496">
        <f>IF(D11="","-",+C61+1)</f>
        <v>2055</v>
      </c>
      <c r="D62" s="509">
        <f>IF(F61+SUM(E$17:E61)=D$10,F61,D$10-SUM(E$17:E61))</f>
        <v>0</v>
      </c>
      <c r="E62" s="510">
        <f>IF(+I14&lt;F61,I14,D62)</f>
        <v>0</v>
      </c>
      <c r="F62" s="511">
        <f t="shared" si="22"/>
        <v>0</v>
      </c>
      <c r="G62" s="524">
        <f t="shared" si="20"/>
        <v>0</v>
      </c>
      <c r="H62" s="478">
        <f t="shared" si="21"/>
        <v>0</v>
      </c>
      <c r="I62" s="501">
        <f t="shared" si="23"/>
        <v>0</v>
      </c>
      <c r="J62" s="501"/>
      <c r="K62" s="513"/>
      <c r="L62" s="505">
        <f t="shared" si="24"/>
        <v>0</v>
      </c>
      <c r="M62" s="513"/>
      <c r="N62" s="505">
        <f t="shared" si="25"/>
        <v>0</v>
      </c>
      <c r="O62" s="505">
        <f t="shared" si="26"/>
        <v>0</v>
      </c>
      <c r="P62" s="279"/>
      <c r="R62" s="244"/>
      <c r="S62" s="244"/>
      <c r="T62" s="244"/>
      <c r="U62" s="244"/>
    </row>
    <row r="63" spans="2:21" ht="12.5">
      <c r="B63" s="145" t="str">
        <f t="shared" si="6"/>
        <v/>
      </c>
      <c r="C63" s="496">
        <f>IF(D11="","-",+C62+1)</f>
        <v>2056</v>
      </c>
      <c r="D63" s="509">
        <f>IF(F62+SUM(E$17:E62)=D$10,F62,D$10-SUM(E$17:E62))</f>
        <v>0</v>
      </c>
      <c r="E63" s="510">
        <f>IF(+I14&lt;F62,I14,D63)</f>
        <v>0</v>
      </c>
      <c r="F63" s="511">
        <f t="shared" si="22"/>
        <v>0</v>
      </c>
      <c r="G63" s="524">
        <f t="shared" si="20"/>
        <v>0</v>
      </c>
      <c r="H63" s="478">
        <f t="shared" si="21"/>
        <v>0</v>
      </c>
      <c r="I63" s="501">
        <f t="shared" si="23"/>
        <v>0</v>
      </c>
      <c r="J63" s="501"/>
      <c r="K63" s="513"/>
      <c r="L63" s="505">
        <f t="shared" si="24"/>
        <v>0</v>
      </c>
      <c r="M63" s="513"/>
      <c r="N63" s="505">
        <f t="shared" si="25"/>
        <v>0</v>
      </c>
      <c r="O63" s="505">
        <f t="shared" si="26"/>
        <v>0</v>
      </c>
      <c r="P63" s="279"/>
      <c r="R63" s="244"/>
      <c r="S63" s="244"/>
      <c r="T63" s="244"/>
      <c r="U63" s="244"/>
    </row>
    <row r="64" spans="2:21" ht="12.5">
      <c r="B64" s="145" t="str">
        <f t="shared" si="6"/>
        <v/>
      </c>
      <c r="C64" s="496">
        <f>IF(D11="","-",+C63+1)</f>
        <v>2057</v>
      </c>
      <c r="D64" s="509">
        <f>IF(F63+SUM(E$17:E63)=D$10,F63,D$10-SUM(E$17:E63))</f>
        <v>0</v>
      </c>
      <c r="E64" s="510">
        <f>IF(+I14&lt;F63,I14,D64)</f>
        <v>0</v>
      </c>
      <c r="F64" s="511">
        <f t="shared" si="22"/>
        <v>0</v>
      </c>
      <c r="G64" s="524">
        <f t="shared" si="20"/>
        <v>0</v>
      </c>
      <c r="H64" s="478">
        <f t="shared" si="21"/>
        <v>0</v>
      </c>
      <c r="I64" s="501">
        <f t="shared" si="23"/>
        <v>0</v>
      </c>
      <c r="J64" s="501"/>
      <c r="K64" s="513"/>
      <c r="L64" s="505">
        <f t="shared" si="24"/>
        <v>0</v>
      </c>
      <c r="M64" s="513"/>
      <c r="N64" s="505">
        <f t="shared" si="25"/>
        <v>0</v>
      </c>
      <c r="O64" s="505">
        <f t="shared" si="26"/>
        <v>0</v>
      </c>
      <c r="P64" s="279"/>
      <c r="R64" s="244"/>
      <c r="S64" s="244"/>
      <c r="T64" s="244"/>
      <c r="U64" s="244"/>
    </row>
    <row r="65" spans="1:21" ht="12.5">
      <c r="B65" s="145" t="str">
        <f t="shared" si="6"/>
        <v/>
      </c>
      <c r="C65" s="496">
        <f>IF(D11="","-",+C64+1)</f>
        <v>2058</v>
      </c>
      <c r="D65" s="509">
        <f>IF(F64+SUM(E$17:E64)=D$10,F64,D$10-SUM(E$17:E64))</f>
        <v>0</v>
      </c>
      <c r="E65" s="510">
        <f>IF(+I14&lt;F64,I14,D65)</f>
        <v>0</v>
      </c>
      <c r="F65" s="511">
        <f t="shared" si="22"/>
        <v>0</v>
      </c>
      <c r="G65" s="524">
        <f t="shared" si="20"/>
        <v>0</v>
      </c>
      <c r="H65" s="478">
        <f t="shared" si="21"/>
        <v>0</v>
      </c>
      <c r="I65" s="501">
        <f t="shared" si="23"/>
        <v>0</v>
      </c>
      <c r="J65" s="501"/>
      <c r="K65" s="513"/>
      <c r="L65" s="505">
        <f t="shared" si="24"/>
        <v>0</v>
      </c>
      <c r="M65" s="513"/>
      <c r="N65" s="505">
        <f t="shared" si="25"/>
        <v>0</v>
      </c>
      <c r="O65" s="505">
        <f t="shared" si="26"/>
        <v>0</v>
      </c>
      <c r="P65" s="279"/>
      <c r="R65" s="244"/>
      <c r="S65" s="244"/>
      <c r="T65" s="244"/>
      <c r="U65" s="244"/>
    </row>
    <row r="66" spans="1:21" ht="12.5">
      <c r="B66" s="145" t="str">
        <f t="shared" si="6"/>
        <v/>
      </c>
      <c r="C66" s="496">
        <f>IF(D11="","-",+C65+1)</f>
        <v>2059</v>
      </c>
      <c r="D66" s="509">
        <f>IF(F65+SUM(E$17:E65)=D$10,F65,D$10-SUM(E$17:E65))</f>
        <v>0</v>
      </c>
      <c r="E66" s="510">
        <f>IF(+I14&lt;F65,I14,D66)</f>
        <v>0</v>
      </c>
      <c r="F66" s="511">
        <f t="shared" si="22"/>
        <v>0</v>
      </c>
      <c r="G66" s="524">
        <f t="shared" si="20"/>
        <v>0</v>
      </c>
      <c r="H66" s="478">
        <f t="shared" si="21"/>
        <v>0</v>
      </c>
      <c r="I66" s="501">
        <f t="shared" si="23"/>
        <v>0</v>
      </c>
      <c r="J66" s="501"/>
      <c r="K66" s="513"/>
      <c r="L66" s="505">
        <f t="shared" si="24"/>
        <v>0</v>
      </c>
      <c r="M66" s="513"/>
      <c r="N66" s="505">
        <f t="shared" si="25"/>
        <v>0</v>
      </c>
      <c r="O66" s="505">
        <f t="shared" si="26"/>
        <v>0</v>
      </c>
      <c r="P66" s="279"/>
      <c r="R66" s="244"/>
      <c r="S66" s="244"/>
      <c r="T66" s="244"/>
      <c r="U66" s="244"/>
    </row>
    <row r="67" spans="1:21" ht="12.5">
      <c r="B67" s="145" t="str">
        <f t="shared" si="6"/>
        <v/>
      </c>
      <c r="C67" s="496">
        <f>IF(D11="","-",+C66+1)</f>
        <v>2060</v>
      </c>
      <c r="D67" s="509">
        <f>IF(F66+SUM(E$17:E66)=D$10,F66,D$10-SUM(E$17:E66))</f>
        <v>0</v>
      </c>
      <c r="E67" s="510">
        <f>IF(+I14&lt;F66,I14,D67)</f>
        <v>0</v>
      </c>
      <c r="F67" s="511">
        <f t="shared" si="22"/>
        <v>0</v>
      </c>
      <c r="G67" s="524">
        <f t="shared" si="20"/>
        <v>0</v>
      </c>
      <c r="H67" s="478">
        <f t="shared" si="21"/>
        <v>0</v>
      </c>
      <c r="I67" s="501">
        <f t="shared" si="23"/>
        <v>0</v>
      </c>
      <c r="J67" s="501"/>
      <c r="K67" s="513"/>
      <c r="L67" s="505">
        <f t="shared" si="24"/>
        <v>0</v>
      </c>
      <c r="M67" s="513"/>
      <c r="N67" s="505">
        <f t="shared" si="25"/>
        <v>0</v>
      </c>
      <c r="O67" s="505">
        <f t="shared" si="26"/>
        <v>0</v>
      </c>
      <c r="P67" s="279"/>
      <c r="R67" s="244"/>
      <c r="S67" s="244"/>
      <c r="T67" s="244"/>
      <c r="U67" s="244"/>
    </row>
    <row r="68" spans="1:21" ht="12.5">
      <c r="B68" s="145" t="str">
        <f t="shared" si="6"/>
        <v/>
      </c>
      <c r="C68" s="496">
        <f>IF(D11="","-",+C67+1)</f>
        <v>2061</v>
      </c>
      <c r="D68" s="509">
        <f>IF(F67+SUM(E$17:E67)=D$10,F67,D$10-SUM(E$17:E67))</f>
        <v>0</v>
      </c>
      <c r="E68" s="510">
        <f>IF(+I14&lt;F67,I14,D68)</f>
        <v>0</v>
      </c>
      <c r="F68" s="511">
        <f t="shared" si="22"/>
        <v>0</v>
      </c>
      <c r="G68" s="524">
        <f t="shared" si="20"/>
        <v>0</v>
      </c>
      <c r="H68" s="478">
        <f t="shared" si="21"/>
        <v>0</v>
      </c>
      <c r="I68" s="501">
        <f t="shared" si="23"/>
        <v>0</v>
      </c>
      <c r="J68" s="501"/>
      <c r="K68" s="513"/>
      <c r="L68" s="505">
        <f t="shared" si="24"/>
        <v>0</v>
      </c>
      <c r="M68" s="513"/>
      <c r="N68" s="505">
        <f t="shared" si="25"/>
        <v>0</v>
      </c>
      <c r="O68" s="505">
        <f t="shared" si="26"/>
        <v>0</v>
      </c>
      <c r="P68" s="279"/>
      <c r="R68" s="244"/>
      <c r="S68" s="244"/>
      <c r="T68" s="244"/>
      <c r="U68" s="244"/>
    </row>
    <row r="69" spans="1:21" ht="12.5">
      <c r="B69" s="145" t="str">
        <f t="shared" si="6"/>
        <v/>
      </c>
      <c r="C69" s="496">
        <f>IF(D11="","-",+C68+1)</f>
        <v>2062</v>
      </c>
      <c r="D69" s="509">
        <f>IF(F68+SUM(E$17:E68)=D$10,F68,D$10-SUM(E$17:E68))</f>
        <v>0</v>
      </c>
      <c r="E69" s="510">
        <f>IF(+I14&lt;F68,I14,D69)</f>
        <v>0</v>
      </c>
      <c r="F69" s="511">
        <f t="shared" si="22"/>
        <v>0</v>
      </c>
      <c r="G69" s="524">
        <f t="shared" si="20"/>
        <v>0</v>
      </c>
      <c r="H69" s="478">
        <f t="shared" si="21"/>
        <v>0</v>
      </c>
      <c r="I69" s="501">
        <f t="shared" si="23"/>
        <v>0</v>
      </c>
      <c r="J69" s="501"/>
      <c r="K69" s="513"/>
      <c r="L69" s="505">
        <f t="shared" si="24"/>
        <v>0</v>
      </c>
      <c r="M69" s="513"/>
      <c r="N69" s="505">
        <f t="shared" si="25"/>
        <v>0</v>
      </c>
      <c r="O69" s="505">
        <f t="shared" si="26"/>
        <v>0</v>
      </c>
      <c r="P69" s="279"/>
      <c r="R69" s="244"/>
      <c r="S69" s="244"/>
      <c r="T69" s="244"/>
      <c r="U69" s="244"/>
    </row>
    <row r="70" spans="1:21" ht="12.5">
      <c r="B70" s="145" t="str">
        <f t="shared" si="6"/>
        <v/>
      </c>
      <c r="C70" s="496">
        <f>IF(D11="","-",+C69+1)</f>
        <v>2063</v>
      </c>
      <c r="D70" s="509">
        <f>IF(F69+SUM(E$17:E69)=D$10,F69,D$10-SUM(E$17:E69))</f>
        <v>0</v>
      </c>
      <c r="E70" s="510">
        <f>IF(+I14&lt;F69,I14,D70)</f>
        <v>0</v>
      </c>
      <c r="F70" s="511">
        <f t="shared" si="22"/>
        <v>0</v>
      </c>
      <c r="G70" s="524">
        <f t="shared" si="20"/>
        <v>0</v>
      </c>
      <c r="H70" s="478">
        <f t="shared" si="21"/>
        <v>0</v>
      </c>
      <c r="I70" s="501">
        <f t="shared" si="23"/>
        <v>0</v>
      </c>
      <c r="J70" s="501"/>
      <c r="K70" s="513"/>
      <c r="L70" s="505">
        <f t="shared" si="24"/>
        <v>0</v>
      </c>
      <c r="M70" s="513"/>
      <c r="N70" s="505">
        <f t="shared" si="25"/>
        <v>0</v>
      </c>
      <c r="O70" s="505">
        <f t="shared" si="26"/>
        <v>0</v>
      </c>
      <c r="P70" s="279"/>
      <c r="R70" s="244"/>
      <c r="S70" s="244"/>
      <c r="T70" s="244"/>
      <c r="U70" s="244"/>
    </row>
    <row r="71" spans="1:21" ht="12.5">
      <c r="B71" s="145" t="str">
        <f t="shared" si="6"/>
        <v/>
      </c>
      <c r="C71" s="496">
        <f>IF(D11="","-",+C70+1)</f>
        <v>2064</v>
      </c>
      <c r="D71" s="509">
        <f>IF(F70+SUM(E$17:E70)=D$10,F70,D$10-SUM(E$17:E70))</f>
        <v>0</v>
      </c>
      <c r="E71" s="510">
        <f>IF(+I14&lt;F70,I14,D71)</f>
        <v>0</v>
      </c>
      <c r="F71" s="511">
        <f t="shared" si="22"/>
        <v>0</v>
      </c>
      <c r="G71" s="524">
        <f t="shared" si="20"/>
        <v>0</v>
      </c>
      <c r="H71" s="478">
        <f t="shared" si="21"/>
        <v>0</v>
      </c>
      <c r="I71" s="501">
        <f t="shared" si="23"/>
        <v>0</v>
      </c>
      <c r="J71" s="501"/>
      <c r="K71" s="513"/>
      <c r="L71" s="505">
        <f t="shared" si="24"/>
        <v>0</v>
      </c>
      <c r="M71" s="513"/>
      <c r="N71" s="505">
        <f t="shared" si="25"/>
        <v>0</v>
      </c>
      <c r="O71" s="505">
        <f t="shared" si="26"/>
        <v>0</v>
      </c>
      <c r="P71" s="279"/>
      <c r="R71" s="244"/>
      <c r="S71" s="244"/>
      <c r="T71" s="244"/>
      <c r="U71" s="244"/>
    </row>
    <row r="72" spans="1:21" ht="12.5">
      <c r="B72" s="145" t="str">
        <f t="shared" si="6"/>
        <v/>
      </c>
      <c r="C72" s="496">
        <f>IF(D11="","-",+C71+1)</f>
        <v>2065</v>
      </c>
      <c r="D72" s="509">
        <f>IF(F71+SUM(E$17:E71)=D$10,F71,D$10-SUM(E$17:E71))</f>
        <v>0</v>
      </c>
      <c r="E72" s="510">
        <f>IF(+I14&lt;F71,I14,D72)</f>
        <v>0</v>
      </c>
      <c r="F72" s="511">
        <f t="shared" si="22"/>
        <v>0</v>
      </c>
      <c r="G72" s="524">
        <f t="shared" si="20"/>
        <v>0</v>
      </c>
      <c r="H72" s="478">
        <f t="shared" si="21"/>
        <v>0</v>
      </c>
      <c r="I72" s="501">
        <f t="shared" si="23"/>
        <v>0</v>
      </c>
      <c r="J72" s="501"/>
      <c r="K72" s="513"/>
      <c r="L72" s="505">
        <f t="shared" si="24"/>
        <v>0</v>
      </c>
      <c r="M72" s="513"/>
      <c r="N72" s="505">
        <f t="shared" si="25"/>
        <v>0</v>
      </c>
      <c r="O72" s="505">
        <f t="shared" si="26"/>
        <v>0</v>
      </c>
      <c r="P72" s="279"/>
      <c r="R72" s="244"/>
      <c r="S72" s="244"/>
      <c r="T72" s="244"/>
      <c r="U72" s="244"/>
    </row>
    <row r="73" spans="1:21" ht="13" thickBot="1">
      <c r="B73" s="145" t="str">
        <f t="shared" si="6"/>
        <v/>
      </c>
      <c r="C73" s="525">
        <f>IF(D11="","-",+C72+1)</f>
        <v>2066</v>
      </c>
      <c r="D73" s="526">
        <f>IF(F72+SUM(E$17:E72)=D$10,F72,D$10-SUM(E$17:E72))</f>
        <v>0</v>
      </c>
      <c r="E73" s="527">
        <f>IF(+I14&lt;F72,I14,D73)</f>
        <v>0</v>
      </c>
      <c r="F73" s="528">
        <f t="shared" si="22"/>
        <v>0</v>
      </c>
      <c r="G73" s="529">
        <f t="shared" si="20"/>
        <v>0</v>
      </c>
      <c r="H73" s="459">
        <f t="shared" si="21"/>
        <v>0</v>
      </c>
      <c r="I73" s="530">
        <f t="shared" si="23"/>
        <v>0</v>
      </c>
      <c r="J73" s="501"/>
      <c r="K73" s="531"/>
      <c r="L73" s="532">
        <f t="shared" si="24"/>
        <v>0</v>
      </c>
      <c r="M73" s="531"/>
      <c r="N73" s="532">
        <f t="shared" si="25"/>
        <v>0</v>
      </c>
      <c r="O73" s="532">
        <f t="shared" si="26"/>
        <v>0</v>
      </c>
      <c r="P73" s="279"/>
      <c r="R73" s="244"/>
      <c r="S73" s="244"/>
      <c r="T73" s="244"/>
      <c r="U73" s="244"/>
    </row>
    <row r="74" spans="1:21" ht="12.5">
      <c r="C74" s="350" t="s">
        <v>75</v>
      </c>
      <c r="D74" s="295"/>
      <c r="E74" s="295">
        <f>SUM(E17:E73)</f>
        <v>723818</v>
      </c>
      <c r="F74" s="295"/>
      <c r="G74" s="295">
        <f>SUM(G17:G73)</f>
        <v>2383174.2894299114</v>
      </c>
      <c r="H74" s="295">
        <f>SUM(H17:H73)</f>
        <v>2383174.2894299114</v>
      </c>
      <c r="I74" s="295">
        <f>SUM(I17:I73)</f>
        <v>0</v>
      </c>
      <c r="J74" s="295"/>
      <c r="K74" s="295"/>
      <c r="L74" s="295"/>
      <c r="M74" s="295"/>
      <c r="N74" s="295"/>
      <c r="O74" s="279"/>
      <c r="P74" s="279"/>
      <c r="R74" s="244"/>
      <c r="S74" s="244"/>
      <c r="T74" s="244"/>
      <c r="U74" s="244"/>
    </row>
    <row r="75" spans="1:21" ht="12.5">
      <c r="D75" s="293"/>
      <c r="E75" s="244"/>
      <c r="F75" s="244"/>
      <c r="G75" s="244"/>
      <c r="H75" s="326"/>
      <c r="I75" s="326"/>
      <c r="J75" s="295"/>
      <c r="K75" s="326"/>
      <c r="L75" s="326"/>
      <c r="M75" s="326"/>
      <c r="N75" s="326"/>
      <c r="O75" s="244"/>
      <c r="P75" s="244"/>
      <c r="R75" s="244"/>
      <c r="S75" s="244"/>
      <c r="T75" s="244"/>
      <c r="U75" s="244"/>
    </row>
    <row r="76" spans="1:21" ht="13">
      <c r="C76" s="533" t="s">
        <v>95</v>
      </c>
      <c r="D76" s="293"/>
      <c r="E76" s="244"/>
      <c r="F76" s="244"/>
      <c r="G76" s="244"/>
      <c r="H76" s="326"/>
      <c r="I76" s="326"/>
      <c r="J76" s="295"/>
      <c r="K76" s="326"/>
      <c r="L76" s="326"/>
      <c r="M76" s="326"/>
      <c r="N76" s="326"/>
      <c r="O76" s="244"/>
      <c r="P76" s="244"/>
      <c r="R76" s="244"/>
      <c r="S76" s="244"/>
      <c r="T76" s="244"/>
      <c r="U76" s="244"/>
    </row>
    <row r="77" spans="1:21" ht="13">
      <c r="C77" s="455" t="s">
        <v>76</v>
      </c>
      <c r="D77" s="293"/>
      <c r="E77" s="244"/>
      <c r="F77" s="244"/>
      <c r="G77" s="244"/>
      <c r="H77" s="326"/>
      <c r="I77" s="326"/>
      <c r="J77" s="295"/>
      <c r="K77" s="326"/>
      <c r="L77" s="326"/>
      <c r="M77" s="326"/>
      <c r="N77" s="326"/>
      <c r="O77" s="279"/>
      <c r="P77" s="279"/>
      <c r="R77" s="244"/>
      <c r="S77" s="244"/>
      <c r="T77" s="244"/>
      <c r="U77" s="244"/>
    </row>
    <row r="78" spans="1:21" ht="17.5">
      <c r="C78" s="455" t="s">
        <v>77</v>
      </c>
      <c r="D78" s="350"/>
      <c r="E78" s="350"/>
      <c r="F78" s="350"/>
      <c r="G78" s="295"/>
      <c r="H78" s="295"/>
      <c r="I78" s="351"/>
      <c r="J78" s="351"/>
      <c r="K78" s="351"/>
      <c r="L78" s="351"/>
      <c r="M78" s="351"/>
      <c r="N78" s="351"/>
      <c r="O78" s="534"/>
      <c r="P78" s="279"/>
      <c r="R78" s="244"/>
      <c r="S78" s="244"/>
      <c r="T78" s="244"/>
      <c r="U78" s="244"/>
    </row>
    <row r="79" spans="1:21" ht="13">
      <c r="C79" s="455"/>
      <c r="D79" s="350"/>
      <c r="E79" s="350"/>
      <c r="F79" s="350"/>
      <c r="G79" s="295"/>
      <c r="H79" s="295"/>
      <c r="I79" s="351"/>
      <c r="J79" s="351"/>
      <c r="K79" s="351"/>
      <c r="L79" s="351"/>
      <c r="M79" s="351"/>
      <c r="N79" s="351"/>
      <c r="O79" s="279"/>
      <c r="P79" s="244"/>
      <c r="R79" s="244"/>
      <c r="S79" s="244"/>
      <c r="T79" s="244"/>
      <c r="U79" s="244"/>
    </row>
    <row r="80" spans="1:21" ht="15.5">
      <c r="A80" s="535"/>
      <c r="B80" s="244"/>
      <c r="C80" s="249"/>
      <c r="D80" s="293"/>
      <c r="E80" s="244"/>
      <c r="F80" s="348"/>
      <c r="G80" s="244"/>
      <c r="H80" s="326"/>
      <c r="I80" s="244"/>
      <c r="J80" s="279"/>
      <c r="K80" s="244"/>
      <c r="L80" s="244"/>
      <c r="M80" s="244"/>
      <c r="N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536"/>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1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81719.946902595548</v>
      </c>
      <c r="N88" s="545">
        <f>IF(J93&lt;D11,0,VLOOKUP(J93,C17:O73,11))</f>
        <v>81719.946902595548</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90533.685322118108</v>
      </c>
      <c r="N89" s="549">
        <f>IF(J93&lt;D11,0,VLOOKUP(J93,C100:P155,7))</f>
        <v>90533.685322118108</v>
      </c>
      <c r="O89" s="550">
        <f>+N89-M89</f>
        <v>0</v>
      </c>
      <c r="P89" s="244"/>
      <c r="Q89" s="244"/>
      <c r="R89" s="244"/>
      <c r="S89" s="244"/>
      <c r="T89" s="244"/>
      <c r="U89" s="244"/>
    </row>
    <row r="90" spans="1:21" ht="13.5" thickBot="1">
      <c r="C90" s="455" t="s">
        <v>82</v>
      </c>
      <c r="D90" s="551" t="str">
        <f>+D7</f>
        <v>Snyder 138 kV Terminal Addition</v>
      </c>
      <c r="E90" s="244"/>
      <c r="F90" s="244"/>
      <c r="G90" s="244"/>
      <c r="H90" s="244"/>
      <c r="I90" s="326"/>
      <c r="J90" s="326"/>
      <c r="K90" s="552"/>
      <c r="L90" s="553" t="s">
        <v>135</v>
      </c>
      <c r="M90" s="554">
        <f>+M89-M88</f>
        <v>8813.7384195225604</v>
      </c>
      <c r="N90" s="554">
        <f>+N89-N88</f>
        <v>8813.7384195225604</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TP2009013</v>
      </c>
      <c r="E92" s="559"/>
      <c r="F92" s="559"/>
      <c r="G92" s="559"/>
      <c r="H92" s="559"/>
      <c r="I92" s="559"/>
      <c r="J92" s="560"/>
      <c r="K92" s="561"/>
      <c r="P92" s="469"/>
      <c r="Q92" s="244"/>
      <c r="R92" s="244"/>
      <c r="S92" s="244"/>
      <c r="T92" s="244"/>
      <c r="U92" s="244"/>
    </row>
    <row r="93" spans="1:21" ht="13">
      <c r="C93" s="473" t="s">
        <v>49</v>
      </c>
      <c r="D93" s="471">
        <f>IF(D11=I10,0,D10)</f>
        <v>723818</v>
      </c>
      <c r="E93" s="249" t="s">
        <v>84</v>
      </c>
      <c r="H93" s="409"/>
      <c r="I93" s="409"/>
      <c r="J93" s="472">
        <f>+'OKT.WS.G.BPU.ATRR.True-up'!M16</f>
        <v>2023</v>
      </c>
      <c r="K93" s="468"/>
      <c r="L93" s="295" t="s">
        <v>85</v>
      </c>
      <c r="P93" s="279"/>
      <c r="Q93" s="244"/>
      <c r="R93" s="244"/>
      <c r="S93" s="244"/>
      <c r="T93" s="244"/>
      <c r="U93" s="244"/>
    </row>
    <row r="94" spans="1:21" ht="12.5">
      <c r="C94" s="473" t="s">
        <v>52</v>
      </c>
      <c r="D94" s="562">
        <f>D11</f>
        <v>2010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D12</f>
        <v>12</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f>+D14</f>
        <v>0</v>
      </c>
      <c r="E97" s="564" t="s">
        <v>62</v>
      </c>
      <c r="F97" s="565"/>
      <c r="G97" s="565"/>
      <c r="H97" s="566"/>
      <c r="I97" s="566"/>
      <c r="J97" s="459">
        <f>IF(D93=0,0,D93/D96)</f>
        <v>38095.684210526313</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IF(D100=F99,"","IU")</f>
        <v>IU</v>
      </c>
      <c r="C100" s="496">
        <f>IF(D94= "","-",D94)</f>
        <v>2010</v>
      </c>
      <c r="D100" s="497">
        <v>0</v>
      </c>
      <c r="E100" s="499">
        <v>0</v>
      </c>
      <c r="F100" s="506">
        <v>634790</v>
      </c>
      <c r="G100" s="572">
        <v>317395</v>
      </c>
      <c r="H100" s="572">
        <v>107896.39563165967</v>
      </c>
      <c r="I100" s="572">
        <v>107896.39563165967</v>
      </c>
      <c r="J100" s="505">
        <f t="shared" ref="J100:J131" si="27">+I100-H100</f>
        <v>0</v>
      </c>
      <c r="K100" s="505"/>
      <c r="L100" s="507">
        <f t="shared" ref="L100:L105" si="28">H100</f>
        <v>107896.39563165967</v>
      </c>
      <c r="M100" s="508">
        <f>IF(L100&lt;&gt;0,+H100-L100,0)</f>
        <v>0</v>
      </c>
      <c r="N100" s="507">
        <f t="shared" ref="N100:N105" si="29">I100</f>
        <v>107896.39563165967</v>
      </c>
      <c r="O100" s="504">
        <f t="shared" ref="O100:O131" si="30">IF(N100&lt;&gt;0,+I100-N100,0)</f>
        <v>0</v>
      </c>
      <c r="P100" s="504">
        <f t="shared" ref="P100:P131" si="31">+O100-M100</f>
        <v>0</v>
      </c>
      <c r="Q100" s="244"/>
      <c r="R100" s="244"/>
      <c r="S100" s="244"/>
      <c r="T100" s="244"/>
      <c r="U100" s="244"/>
    </row>
    <row r="101" spans="1:21" ht="12.5">
      <c r="B101" s="145" t="str">
        <f t="shared" ref="B101:B155" si="32">IF(D101=F100,"","IU")</f>
        <v/>
      </c>
      <c r="C101" s="496">
        <f>IF(D94="","-",+C100+1)</f>
        <v>2011</v>
      </c>
      <c r="D101" s="497">
        <v>634790</v>
      </c>
      <c r="E101" s="499">
        <v>12180.958103448274</v>
      </c>
      <c r="F101" s="506">
        <v>622609.04189655173</v>
      </c>
      <c r="G101" s="506">
        <v>628699.52094827592</v>
      </c>
      <c r="H101" s="499">
        <v>58926.291922257748</v>
      </c>
      <c r="I101" s="500">
        <v>58926.291922257748</v>
      </c>
      <c r="J101" s="505">
        <v>0</v>
      </c>
      <c r="K101" s="505"/>
      <c r="L101" s="507">
        <f t="shared" si="28"/>
        <v>58926.291922257748</v>
      </c>
      <c r="M101" s="505">
        <f t="shared" ref="M101:M131" si="33">IF(L101&lt;&gt;0,+H101-L101,0)</f>
        <v>0</v>
      </c>
      <c r="N101" s="507">
        <f t="shared" si="29"/>
        <v>58926.291922257748</v>
      </c>
      <c r="O101" s="505">
        <f t="shared" si="30"/>
        <v>0</v>
      </c>
      <c r="P101" s="505">
        <f t="shared" si="31"/>
        <v>0</v>
      </c>
      <c r="Q101" s="244"/>
      <c r="R101" s="244"/>
      <c r="S101" s="244"/>
      <c r="T101" s="244"/>
      <c r="U101" s="244"/>
    </row>
    <row r="102" spans="1:21" ht="12.5">
      <c r="B102" s="145" t="str">
        <f t="shared" si="32"/>
        <v>IU</v>
      </c>
      <c r="C102" s="496">
        <f>IF(D94="","-",+C101+1)</f>
        <v>2012</v>
      </c>
      <c r="D102" s="497">
        <v>711637.04189655173</v>
      </c>
      <c r="E102" s="499">
        <v>12479.620689655172</v>
      </c>
      <c r="F102" s="506">
        <v>699157.42120689654</v>
      </c>
      <c r="G102" s="506">
        <v>705397.23155172414</v>
      </c>
      <c r="H102" s="499">
        <v>83971.238209738236</v>
      </c>
      <c r="I102" s="500">
        <v>83971.238209738236</v>
      </c>
      <c r="J102" s="505">
        <v>0</v>
      </c>
      <c r="K102" s="505"/>
      <c r="L102" s="507">
        <f t="shared" si="28"/>
        <v>83971.238209738236</v>
      </c>
      <c r="M102" s="505">
        <f t="shared" ref="M102:M107" si="34">IF(L102&lt;&gt;0,+H102-L102,0)</f>
        <v>0</v>
      </c>
      <c r="N102" s="507">
        <f t="shared" si="29"/>
        <v>83971.238209738236</v>
      </c>
      <c r="O102" s="505">
        <f>IF(N102&lt;&gt;0,+I102-N102,0)</f>
        <v>0</v>
      </c>
      <c r="P102" s="505">
        <f>+O102-M102</f>
        <v>0</v>
      </c>
      <c r="Q102" s="244"/>
      <c r="R102" s="244"/>
      <c r="S102" s="244"/>
      <c r="T102" s="244"/>
      <c r="U102" s="244"/>
    </row>
    <row r="103" spans="1:21" ht="12.5">
      <c r="B103" s="145" t="str">
        <f t="shared" si="32"/>
        <v/>
      </c>
      <c r="C103" s="496">
        <f>IF(D94="","-",+C102+1)</f>
        <v>2013</v>
      </c>
      <c r="D103" s="497">
        <v>699157.42120689654</v>
      </c>
      <c r="E103" s="499">
        <v>12479.620689655172</v>
      </c>
      <c r="F103" s="506">
        <v>686677.80051724135</v>
      </c>
      <c r="G103" s="506">
        <v>692917.61086206895</v>
      </c>
      <c r="H103" s="499">
        <v>91236.605288625666</v>
      </c>
      <c r="I103" s="500">
        <v>91236.605288625666</v>
      </c>
      <c r="J103" s="505">
        <v>0</v>
      </c>
      <c r="K103" s="505"/>
      <c r="L103" s="507">
        <f t="shared" si="28"/>
        <v>91236.605288625666</v>
      </c>
      <c r="M103" s="505">
        <f t="shared" si="34"/>
        <v>0</v>
      </c>
      <c r="N103" s="507">
        <f t="shared" si="29"/>
        <v>91236.605288625666</v>
      </c>
      <c r="O103" s="505">
        <f>IF(N103&lt;&gt;0,+I103-N103,0)</f>
        <v>0</v>
      </c>
      <c r="P103" s="505">
        <f>+O103-M103</f>
        <v>0</v>
      </c>
      <c r="Q103" s="244"/>
      <c r="R103" s="244"/>
      <c r="S103" s="244"/>
      <c r="T103" s="244"/>
      <c r="U103" s="244"/>
    </row>
    <row r="104" spans="1:21" ht="12.5">
      <c r="B104" s="145" t="str">
        <f t="shared" si="32"/>
        <v/>
      </c>
      <c r="C104" s="496">
        <f>IF(D94="","-",+C103+1)</f>
        <v>2014</v>
      </c>
      <c r="D104" s="497">
        <v>686677.80051724135</v>
      </c>
      <c r="E104" s="499">
        <v>12479.620689655172</v>
      </c>
      <c r="F104" s="506">
        <v>674198.17982758617</v>
      </c>
      <c r="G104" s="506">
        <v>680437.99017241376</v>
      </c>
      <c r="H104" s="499">
        <v>85656.254524456934</v>
      </c>
      <c r="I104" s="500">
        <v>85656.254524456934</v>
      </c>
      <c r="J104" s="505">
        <v>0</v>
      </c>
      <c r="K104" s="505"/>
      <c r="L104" s="507">
        <f t="shared" si="28"/>
        <v>85656.254524456934</v>
      </c>
      <c r="M104" s="505">
        <f t="shared" si="34"/>
        <v>0</v>
      </c>
      <c r="N104" s="507">
        <f t="shared" si="29"/>
        <v>85656.254524456934</v>
      </c>
      <c r="O104" s="505">
        <f>IF(N104&lt;&gt;0,+I104-N104,0)</f>
        <v>0</v>
      </c>
      <c r="P104" s="505">
        <f>+O104-M104</f>
        <v>0</v>
      </c>
      <c r="Q104" s="244"/>
      <c r="R104" s="244"/>
      <c r="S104" s="244"/>
      <c r="T104" s="244"/>
      <c r="U104" s="244"/>
    </row>
    <row r="105" spans="1:21" ht="12.5">
      <c r="B105" s="145" t="str">
        <f t="shared" si="32"/>
        <v/>
      </c>
      <c r="C105" s="496">
        <f>IF(D94="","-",+C104+1)</f>
        <v>2015</v>
      </c>
      <c r="D105" s="497">
        <v>674198.17982758617</v>
      </c>
      <c r="E105" s="499">
        <v>15079.541666666666</v>
      </c>
      <c r="F105" s="506">
        <v>659118.63816091954</v>
      </c>
      <c r="G105" s="506">
        <v>666658.40899425279</v>
      </c>
      <c r="H105" s="499">
        <v>89298.24140660846</v>
      </c>
      <c r="I105" s="500">
        <v>89298.24140660846</v>
      </c>
      <c r="J105" s="505">
        <f t="shared" si="27"/>
        <v>0</v>
      </c>
      <c r="K105" s="505"/>
      <c r="L105" s="507">
        <f t="shared" si="28"/>
        <v>89298.24140660846</v>
      </c>
      <c r="M105" s="505">
        <f t="shared" si="34"/>
        <v>0</v>
      </c>
      <c r="N105" s="507">
        <f t="shared" si="29"/>
        <v>89298.24140660846</v>
      </c>
      <c r="O105" s="505">
        <f t="shared" si="30"/>
        <v>0</v>
      </c>
      <c r="P105" s="505">
        <f t="shared" si="31"/>
        <v>0</v>
      </c>
      <c r="Q105" s="244"/>
      <c r="R105" s="244"/>
      <c r="S105" s="244"/>
      <c r="T105" s="244"/>
      <c r="U105" s="244"/>
    </row>
    <row r="106" spans="1:21" ht="12.5">
      <c r="B106" s="145" t="str">
        <f t="shared" si="32"/>
        <v/>
      </c>
      <c r="C106" s="496">
        <f>IF(D94="","-",+C105+1)</f>
        <v>2016</v>
      </c>
      <c r="D106" s="497">
        <v>659118.63816091954</v>
      </c>
      <c r="E106" s="499">
        <v>14192.509803921568</v>
      </c>
      <c r="F106" s="506">
        <v>644926.12835699797</v>
      </c>
      <c r="G106" s="506">
        <v>652022.38325895881</v>
      </c>
      <c r="H106" s="499">
        <v>84851.823004071382</v>
      </c>
      <c r="I106" s="500">
        <v>84851.823004071382</v>
      </c>
      <c r="J106" s="505">
        <f t="shared" si="27"/>
        <v>0</v>
      </c>
      <c r="K106" s="505"/>
      <c r="L106" s="507">
        <f t="shared" ref="L106:L111" si="35">H106</f>
        <v>84851.823004071382</v>
      </c>
      <c r="M106" s="505">
        <f t="shared" si="34"/>
        <v>0</v>
      </c>
      <c r="N106" s="507">
        <f t="shared" ref="N106:N111" si="36">I106</f>
        <v>84851.823004071382</v>
      </c>
      <c r="O106" s="505">
        <f>IF(N106&lt;&gt;0,+I106-N106,0)</f>
        <v>0</v>
      </c>
      <c r="P106" s="505">
        <f>+O106-M106</f>
        <v>0</v>
      </c>
      <c r="Q106" s="244"/>
      <c r="R106" s="244"/>
      <c r="S106" s="244"/>
      <c r="T106" s="244"/>
      <c r="U106" s="244"/>
    </row>
    <row r="107" spans="1:21" ht="12.5">
      <c r="B107" s="145" t="str">
        <f t="shared" si="32"/>
        <v/>
      </c>
      <c r="C107" s="496">
        <f>IF(D94="","-",+C106+1)</f>
        <v>2017</v>
      </c>
      <c r="D107" s="497">
        <v>644926.12835699797</v>
      </c>
      <c r="E107" s="499">
        <v>18095.45</v>
      </c>
      <c r="F107" s="506">
        <v>626830.67835699802</v>
      </c>
      <c r="G107" s="506">
        <v>635878.40335699799</v>
      </c>
      <c r="H107" s="499">
        <v>92706.791991345061</v>
      </c>
      <c r="I107" s="500">
        <v>92706.791991345061</v>
      </c>
      <c r="J107" s="505">
        <f t="shared" si="27"/>
        <v>0</v>
      </c>
      <c r="K107" s="505"/>
      <c r="L107" s="507">
        <f t="shared" si="35"/>
        <v>92706.791991345061</v>
      </c>
      <c r="M107" s="505">
        <f t="shared" si="34"/>
        <v>0</v>
      </c>
      <c r="N107" s="507">
        <f t="shared" si="36"/>
        <v>92706.791991345061</v>
      </c>
      <c r="O107" s="505">
        <f>IF(N107&lt;&gt;0,+I107-N107,0)</f>
        <v>0</v>
      </c>
      <c r="P107" s="505">
        <f>+O107-M107</f>
        <v>0</v>
      </c>
      <c r="Q107" s="244"/>
      <c r="R107" s="244"/>
      <c r="S107" s="244"/>
      <c r="T107" s="244"/>
      <c r="U107" s="244"/>
    </row>
    <row r="108" spans="1:21" ht="12.5">
      <c r="B108" s="145" t="str">
        <f t="shared" si="32"/>
        <v/>
      </c>
      <c r="C108" s="496">
        <f>IF(D94="","-",+C107+1)</f>
        <v>2018</v>
      </c>
      <c r="D108" s="497">
        <v>626830.67835699802</v>
      </c>
      <c r="E108" s="499">
        <v>20106.055555555555</v>
      </c>
      <c r="F108" s="506">
        <v>606724.62280144251</v>
      </c>
      <c r="G108" s="506">
        <v>616777.65057922027</v>
      </c>
      <c r="H108" s="499">
        <v>85214.614900276356</v>
      </c>
      <c r="I108" s="500">
        <v>85214.614900276356</v>
      </c>
      <c r="J108" s="505">
        <f t="shared" si="27"/>
        <v>0</v>
      </c>
      <c r="K108" s="505"/>
      <c r="L108" s="507">
        <f t="shared" si="35"/>
        <v>85214.614900276356</v>
      </c>
      <c r="M108" s="505">
        <f t="shared" ref="M108" si="37">IF(L108&lt;&gt;0,+H108-L108,0)</f>
        <v>0</v>
      </c>
      <c r="N108" s="507">
        <f t="shared" si="36"/>
        <v>85214.614900276356</v>
      </c>
      <c r="O108" s="505">
        <f>IF(N108&lt;&gt;0,+I108-N108,0)</f>
        <v>0</v>
      </c>
      <c r="P108" s="505">
        <f>+O108-M108</f>
        <v>0</v>
      </c>
      <c r="Q108" s="244"/>
      <c r="R108" s="244"/>
      <c r="S108" s="244"/>
      <c r="T108" s="244"/>
      <c r="U108" s="244"/>
    </row>
    <row r="109" spans="1:21" ht="12.5">
      <c r="B109" s="145" t="str">
        <f t="shared" si="32"/>
        <v/>
      </c>
      <c r="C109" s="496">
        <f>IF(D94="","-",+C108+1)</f>
        <v>2019</v>
      </c>
      <c r="D109" s="497">
        <v>606724.62280144251</v>
      </c>
      <c r="E109" s="499">
        <v>20106.055555555555</v>
      </c>
      <c r="F109" s="506">
        <v>586618.56724588701</v>
      </c>
      <c r="G109" s="506">
        <v>596671.59502366476</v>
      </c>
      <c r="H109" s="499">
        <v>83092.170434109707</v>
      </c>
      <c r="I109" s="500">
        <v>83092.170434109707</v>
      </c>
      <c r="J109" s="505">
        <f t="shared" si="27"/>
        <v>0</v>
      </c>
      <c r="K109" s="505"/>
      <c r="L109" s="507">
        <f t="shared" si="35"/>
        <v>83092.170434109707</v>
      </c>
      <c r="M109" s="505">
        <f t="shared" ref="M109" si="38">IF(L109&lt;&gt;0,+H109-L109,0)</f>
        <v>0</v>
      </c>
      <c r="N109" s="507">
        <f t="shared" si="36"/>
        <v>83092.170434109707</v>
      </c>
      <c r="O109" s="505">
        <f t="shared" si="30"/>
        <v>0</v>
      </c>
      <c r="P109" s="505">
        <f t="shared" si="31"/>
        <v>0</v>
      </c>
      <c r="Q109" s="244"/>
      <c r="R109" s="244"/>
      <c r="S109" s="244"/>
      <c r="T109" s="244"/>
      <c r="U109" s="244"/>
    </row>
    <row r="110" spans="1:21" ht="12.5">
      <c r="B110" s="145" t="str">
        <f t="shared" si="32"/>
        <v/>
      </c>
      <c r="C110" s="496">
        <f>IF(D94="","-",+C109+1)</f>
        <v>2020</v>
      </c>
      <c r="D110" s="497">
        <v>586618.56724588701</v>
      </c>
      <c r="E110" s="499">
        <v>25850.642857142859</v>
      </c>
      <c r="F110" s="506">
        <v>560767.92438874417</v>
      </c>
      <c r="G110" s="506">
        <v>573693.24581731553</v>
      </c>
      <c r="H110" s="499">
        <v>86899.348480192144</v>
      </c>
      <c r="I110" s="500">
        <v>86899.348480192144</v>
      </c>
      <c r="J110" s="505">
        <f t="shared" si="27"/>
        <v>0</v>
      </c>
      <c r="K110" s="505"/>
      <c r="L110" s="507">
        <f t="shared" si="35"/>
        <v>86899.348480192144</v>
      </c>
      <c r="M110" s="505">
        <f t="shared" ref="M110" si="39">IF(L110&lt;&gt;0,+H110-L110,0)</f>
        <v>0</v>
      </c>
      <c r="N110" s="507">
        <f t="shared" si="36"/>
        <v>86899.348480192144</v>
      </c>
      <c r="O110" s="505">
        <f t="shared" si="30"/>
        <v>0</v>
      </c>
      <c r="P110" s="505">
        <f t="shared" si="31"/>
        <v>0</v>
      </c>
      <c r="Q110" s="244"/>
      <c r="R110" s="244"/>
      <c r="S110" s="244"/>
      <c r="T110" s="244"/>
      <c r="U110" s="244"/>
    </row>
    <row r="111" spans="1:21" ht="12.5">
      <c r="B111" s="145" t="str">
        <f t="shared" si="32"/>
        <v/>
      </c>
      <c r="C111" s="496">
        <f>IF(D94="","-",+C110+1)</f>
        <v>2021</v>
      </c>
      <c r="D111" s="497">
        <v>560767.92438874417</v>
      </c>
      <c r="E111" s="499">
        <v>28952.720000000001</v>
      </c>
      <c r="F111" s="506">
        <v>531815.2043887442</v>
      </c>
      <c r="G111" s="506">
        <v>546291.56438874418</v>
      </c>
      <c r="H111" s="499">
        <v>93394.372694725258</v>
      </c>
      <c r="I111" s="500">
        <v>93394.372694725258</v>
      </c>
      <c r="J111" s="505">
        <f t="shared" si="27"/>
        <v>0</v>
      </c>
      <c r="K111" s="505"/>
      <c r="L111" s="507">
        <f t="shared" si="35"/>
        <v>93394.372694725258</v>
      </c>
      <c r="M111" s="505">
        <f t="shared" ref="M111" si="40">IF(L111&lt;&gt;0,+H111-L111,0)</f>
        <v>0</v>
      </c>
      <c r="N111" s="507">
        <f t="shared" si="36"/>
        <v>93394.372694725258</v>
      </c>
      <c r="O111" s="505">
        <f t="shared" si="30"/>
        <v>0</v>
      </c>
      <c r="P111" s="505">
        <f t="shared" si="31"/>
        <v>0</v>
      </c>
      <c r="Q111" s="244"/>
      <c r="R111" s="244"/>
      <c r="S111" s="244"/>
      <c r="T111" s="244"/>
      <c r="U111" s="244"/>
    </row>
    <row r="112" spans="1:21" ht="12.5">
      <c r="B112" s="145" t="str">
        <f t="shared" si="32"/>
        <v/>
      </c>
      <c r="C112" s="496">
        <f>IF(D94="","-",+C111+1)</f>
        <v>2022</v>
      </c>
      <c r="D112" s="497">
        <v>531815.2043887442</v>
      </c>
      <c r="E112" s="499">
        <v>34467.523809523809</v>
      </c>
      <c r="F112" s="506">
        <v>497347.68057922041</v>
      </c>
      <c r="G112" s="506">
        <v>514581.4424839823</v>
      </c>
      <c r="H112" s="499">
        <v>93626.902157801858</v>
      </c>
      <c r="I112" s="500">
        <v>93626.902157801858</v>
      </c>
      <c r="J112" s="505">
        <f t="shared" si="27"/>
        <v>0</v>
      </c>
      <c r="K112" s="505"/>
      <c r="L112" s="507">
        <f t="shared" ref="L112" si="41">H112</f>
        <v>93626.902157801858</v>
      </c>
      <c r="M112" s="505">
        <f t="shared" ref="M112" si="42">IF(L112&lt;&gt;0,+H112-L112,0)</f>
        <v>0</v>
      </c>
      <c r="N112" s="507">
        <f t="shared" ref="N112" si="43">I112</f>
        <v>93626.902157801858</v>
      </c>
      <c r="O112" s="505">
        <f t="shared" ref="O112" si="44">IF(N112&lt;&gt;0,+I112-N112,0)</f>
        <v>0</v>
      </c>
      <c r="P112" s="505">
        <f t="shared" ref="P112" si="45">+O112-M112</f>
        <v>0</v>
      </c>
      <c r="Q112" s="244"/>
      <c r="R112" s="244"/>
      <c r="S112" s="244"/>
      <c r="T112" s="244"/>
      <c r="U112" s="244"/>
    </row>
    <row r="113" spans="2:21" ht="12.5">
      <c r="B113" s="145" t="str">
        <f t="shared" si="32"/>
        <v/>
      </c>
      <c r="C113" s="496">
        <f>IF(D94="","-",+C112+1)</f>
        <v>2023</v>
      </c>
      <c r="D113" s="350">
        <f>IF(F112+SUM(E$100:E112)=D$93,F112,D$93-SUM(E$100:E112))</f>
        <v>497347.68057922041</v>
      </c>
      <c r="E113" s="510">
        <f>IF(+J97&lt;F112,J97,D113)</f>
        <v>38095.684210526313</v>
      </c>
      <c r="F113" s="511">
        <f t="shared" ref="F113:F131" si="46">+D113-E113</f>
        <v>459251.99636869412</v>
      </c>
      <c r="G113" s="511">
        <f t="shared" ref="G113:G131" si="47">+(F113+D113)/2</f>
        <v>478299.83847395726</v>
      </c>
      <c r="H113" s="645">
        <f t="shared" ref="H113:H154" si="48">(D113+F113)/2*J$95+E113</f>
        <v>90533.685322118108</v>
      </c>
      <c r="I113" s="573">
        <f t="shared" ref="I113:I132" si="49">+J$96*G113+E113</f>
        <v>90533.685322118108</v>
      </c>
      <c r="J113" s="505">
        <f t="shared" si="27"/>
        <v>0</v>
      </c>
      <c r="K113" s="505"/>
      <c r="L113" s="513"/>
      <c r="M113" s="505">
        <f t="shared" si="33"/>
        <v>0</v>
      </c>
      <c r="N113" s="513"/>
      <c r="O113" s="505">
        <f t="shared" si="30"/>
        <v>0</v>
      </c>
      <c r="P113" s="505">
        <f t="shared" si="31"/>
        <v>0</v>
      </c>
      <c r="Q113" s="244"/>
      <c r="R113" s="244"/>
      <c r="S113" s="244"/>
      <c r="T113" s="244"/>
      <c r="U113" s="244"/>
    </row>
    <row r="114" spans="2:21" ht="12.5">
      <c r="B114" s="145" t="str">
        <f t="shared" si="32"/>
        <v/>
      </c>
      <c r="C114" s="496">
        <f>IF(D94="","-",+C113+1)</f>
        <v>2024</v>
      </c>
      <c r="D114" s="350">
        <f>IF(F113+SUM(E$100:E113)=D$93,F113,D$93-SUM(E$100:E113))</f>
        <v>459251.99636869412</v>
      </c>
      <c r="E114" s="510">
        <f>IF(+J97&lt;F113,J97,D114)</f>
        <v>38095.684210526313</v>
      </c>
      <c r="F114" s="511">
        <f t="shared" si="46"/>
        <v>421156.31215816783</v>
      </c>
      <c r="G114" s="511">
        <f t="shared" si="47"/>
        <v>440204.15426343097</v>
      </c>
      <c r="H114" s="645">
        <f t="shared" si="48"/>
        <v>86357.096976715198</v>
      </c>
      <c r="I114" s="573">
        <f t="shared" si="49"/>
        <v>86357.096976715198</v>
      </c>
      <c r="J114" s="505">
        <f t="shared" si="27"/>
        <v>0</v>
      </c>
      <c r="K114" s="505"/>
      <c r="L114" s="513"/>
      <c r="M114" s="505">
        <f t="shared" si="33"/>
        <v>0</v>
      </c>
      <c r="N114" s="513"/>
      <c r="O114" s="505">
        <f t="shared" si="30"/>
        <v>0</v>
      </c>
      <c r="P114" s="505">
        <f t="shared" si="31"/>
        <v>0</v>
      </c>
      <c r="Q114" s="244"/>
      <c r="R114" s="244"/>
      <c r="S114" s="244"/>
      <c r="T114" s="244"/>
      <c r="U114" s="244"/>
    </row>
    <row r="115" spans="2:21" ht="12.5">
      <c r="B115" s="145" t="str">
        <f t="shared" si="32"/>
        <v/>
      </c>
      <c r="C115" s="496">
        <f>IF(D94="","-",+C114+1)</f>
        <v>2025</v>
      </c>
      <c r="D115" s="350">
        <f>IF(F114+SUM(E$100:E114)=D$93,F114,D$93-SUM(E$100:E114))</f>
        <v>421156.31215816783</v>
      </c>
      <c r="E115" s="510">
        <f>IF(+J97&lt;F114,J97,D115)</f>
        <v>38095.684210526313</v>
      </c>
      <c r="F115" s="511">
        <f t="shared" si="46"/>
        <v>383060.62794764154</v>
      </c>
      <c r="G115" s="511">
        <f t="shared" si="47"/>
        <v>402108.47005290468</v>
      </c>
      <c r="H115" s="645">
        <f t="shared" si="48"/>
        <v>82180.508631312274</v>
      </c>
      <c r="I115" s="573">
        <f t="shared" si="49"/>
        <v>82180.508631312274</v>
      </c>
      <c r="J115" s="505">
        <f t="shared" si="27"/>
        <v>0</v>
      </c>
      <c r="K115" s="505"/>
      <c r="L115" s="513"/>
      <c r="M115" s="505">
        <f t="shared" si="33"/>
        <v>0</v>
      </c>
      <c r="N115" s="513"/>
      <c r="O115" s="505">
        <f t="shared" si="30"/>
        <v>0</v>
      </c>
      <c r="P115" s="505">
        <f t="shared" si="31"/>
        <v>0</v>
      </c>
      <c r="Q115" s="244"/>
      <c r="R115" s="244"/>
      <c r="S115" s="244"/>
      <c r="T115" s="244"/>
      <c r="U115" s="244"/>
    </row>
    <row r="116" spans="2:21" ht="12.5">
      <c r="B116" s="145" t="str">
        <f t="shared" si="32"/>
        <v/>
      </c>
      <c r="C116" s="496">
        <f>IF(D94="","-",+C115+1)</f>
        <v>2026</v>
      </c>
      <c r="D116" s="350">
        <f>IF(F115+SUM(E$100:E115)=D$93,F115,D$93-SUM(E$100:E115))</f>
        <v>383060.62794764154</v>
      </c>
      <c r="E116" s="510">
        <f>IF(+J97&lt;F115,J97,D116)</f>
        <v>38095.684210526313</v>
      </c>
      <c r="F116" s="511">
        <f t="shared" si="46"/>
        <v>344964.94373711525</v>
      </c>
      <c r="G116" s="511">
        <f t="shared" si="47"/>
        <v>364012.78584237839</v>
      </c>
      <c r="H116" s="645">
        <f t="shared" si="48"/>
        <v>78003.920285909349</v>
      </c>
      <c r="I116" s="573">
        <f t="shared" si="49"/>
        <v>78003.920285909349</v>
      </c>
      <c r="J116" s="505">
        <f t="shared" si="27"/>
        <v>0</v>
      </c>
      <c r="K116" s="505"/>
      <c r="L116" s="513"/>
      <c r="M116" s="505">
        <f t="shared" si="33"/>
        <v>0</v>
      </c>
      <c r="N116" s="513"/>
      <c r="O116" s="505">
        <f t="shared" si="30"/>
        <v>0</v>
      </c>
      <c r="P116" s="505">
        <f t="shared" si="31"/>
        <v>0</v>
      </c>
      <c r="Q116" s="244"/>
      <c r="R116" s="244"/>
      <c r="S116" s="244"/>
      <c r="T116" s="244"/>
      <c r="U116" s="244"/>
    </row>
    <row r="117" spans="2:21" ht="12.5">
      <c r="B117" s="145" t="str">
        <f t="shared" si="32"/>
        <v/>
      </c>
      <c r="C117" s="496">
        <f>IF(D94="","-",+C116+1)</f>
        <v>2027</v>
      </c>
      <c r="D117" s="350">
        <f>IF(F116+SUM(E$100:E116)=D$93,F116,D$93-SUM(E$100:E116))</f>
        <v>344964.94373711525</v>
      </c>
      <c r="E117" s="510">
        <f>IF(+J97&lt;F116,J97,D117)</f>
        <v>38095.684210526313</v>
      </c>
      <c r="F117" s="511">
        <f t="shared" si="46"/>
        <v>306869.25952658895</v>
      </c>
      <c r="G117" s="511">
        <f t="shared" si="47"/>
        <v>325917.1016318521</v>
      </c>
      <c r="H117" s="645">
        <f t="shared" si="48"/>
        <v>73827.331940506439</v>
      </c>
      <c r="I117" s="573">
        <f t="shared" si="49"/>
        <v>73827.331940506439</v>
      </c>
      <c r="J117" s="505">
        <f t="shared" si="27"/>
        <v>0</v>
      </c>
      <c r="K117" s="505"/>
      <c r="L117" s="513"/>
      <c r="M117" s="505">
        <f t="shared" si="33"/>
        <v>0</v>
      </c>
      <c r="N117" s="513"/>
      <c r="O117" s="505">
        <f t="shared" si="30"/>
        <v>0</v>
      </c>
      <c r="P117" s="505">
        <f t="shared" si="31"/>
        <v>0</v>
      </c>
      <c r="Q117" s="244"/>
      <c r="R117" s="244"/>
      <c r="S117" s="244"/>
      <c r="T117" s="244"/>
      <c r="U117" s="244"/>
    </row>
    <row r="118" spans="2:21" ht="12.5">
      <c r="B118" s="145" t="str">
        <f t="shared" si="32"/>
        <v/>
      </c>
      <c r="C118" s="496">
        <f>IF(D94="","-",+C117+1)</f>
        <v>2028</v>
      </c>
      <c r="D118" s="350">
        <f>IF(F117+SUM(E$100:E117)=D$93,F117,D$93-SUM(E$100:E117))</f>
        <v>306869.25952658895</v>
      </c>
      <c r="E118" s="510">
        <f>IF(+J97&lt;F117,J97,D118)</f>
        <v>38095.684210526313</v>
      </c>
      <c r="F118" s="511">
        <f t="shared" si="46"/>
        <v>268773.57531606266</v>
      </c>
      <c r="G118" s="511">
        <f t="shared" si="47"/>
        <v>287821.41742132581</v>
      </c>
      <c r="H118" s="645">
        <f t="shared" si="48"/>
        <v>69650.74359510353</v>
      </c>
      <c r="I118" s="573">
        <f t="shared" si="49"/>
        <v>69650.74359510353</v>
      </c>
      <c r="J118" s="505">
        <f t="shared" si="27"/>
        <v>0</v>
      </c>
      <c r="K118" s="505"/>
      <c r="L118" s="513"/>
      <c r="M118" s="505">
        <f t="shared" si="33"/>
        <v>0</v>
      </c>
      <c r="N118" s="513"/>
      <c r="O118" s="505">
        <f t="shared" si="30"/>
        <v>0</v>
      </c>
      <c r="P118" s="505">
        <f t="shared" si="31"/>
        <v>0</v>
      </c>
      <c r="Q118" s="244"/>
      <c r="R118" s="244"/>
      <c r="S118" s="244"/>
      <c r="T118" s="244"/>
      <c r="U118" s="244"/>
    </row>
    <row r="119" spans="2:21" ht="12.5">
      <c r="B119" s="145" t="str">
        <f t="shared" si="32"/>
        <v/>
      </c>
      <c r="C119" s="496">
        <f>IF(D94="","-",+C118+1)</f>
        <v>2029</v>
      </c>
      <c r="D119" s="350">
        <f>IF(F118+SUM(E$100:E118)=D$93,F118,D$93-SUM(E$100:E118))</f>
        <v>268773.57531606266</v>
      </c>
      <c r="E119" s="510">
        <f>IF(+J97&lt;F118,J97,D119)</f>
        <v>38095.684210526313</v>
      </c>
      <c r="F119" s="511">
        <f t="shared" si="46"/>
        <v>230677.89110553634</v>
      </c>
      <c r="G119" s="511">
        <f t="shared" si="47"/>
        <v>249725.73321079952</v>
      </c>
      <c r="H119" s="645">
        <f t="shared" si="48"/>
        <v>65474.155249700605</v>
      </c>
      <c r="I119" s="573">
        <f t="shared" si="49"/>
        <v>65474.155249700605</v>
      </c>
      <c r="J119" s="505">
        <f t="shared" si="27"/>
        <v>0</v>
      </c>
      <c r="K119" s="505"/>
      <c r="L119" s="513"/>
      <c r="M119" s="505">
        <f t="shared" si="33"/>
        <v>0</v>
      </c>
      <c r="N119" s="513"/>
      <c r="O119" s="505">
        <f t="shared" si="30"/>
        <v>0</v>
      </c>
      <c r="P119" s="505">
        <f t="shared" si="31"/>
        <v>0</v>
      </c>
      <c r="Q119" s="244"/>
      <c r="R119" s="244"/>
      <c r="S119" s="244"/>
      <c r="T119" s="244"/>
      <c r="U119" s="244"/>
    </row>
    <row r="120" spans="2:21" ht="12.5">
      <c r="B120" s="145" t="str">
        <f t="shared" si="32"/>
        <v/>
      </c>
      <c r="C120" s="496">
        <f>IF(D94="","-",+C119+1)</f>
        <v>2030</v>
      </c>
      <c r="D120" s="350">
        <f>IF(F119+SUM(E$100:E119)=D$93,F119,D$93-SUM(E$100:E119))</f>
        <v>230677.89110553634</v>
      </c>
      <c r="E120" s="510">
        <f>IF(+J97&lt;F119,J97,D120)</f>
        <v>38095.684210526313</v>
      </c>
      <c r="F120" s="511">
        <f t="shared" si="46"/>
        <v>192582.20689501002</v>
      </c>
      <c r="G120" s="511">
        <f t="shared" si="47"/>
        <v>211630.04900027317</v>
      </c>
      <c r="H120" s="645">
        <f t="shared" si="48"/>
        <v>61297.566904297681</v>
      </c>
      <c r="I120" s="573">
        <f t="shared" si="49"/>
        <v>61297.566904297681</v>
      </c>
      <c r="J120" s="505">
        <f t="shared" si="27"/>
        <v>0</v>
      </c>
      <c r="K120" s="505"/>
      <c r="L120" s="513"/>
      <c r="M120" s="505">
        <f t="shared" si="33"/>
        <v>0</v>
      </c>
      <c r="N120" s="513"/>
      <c r="O120" s="505">
        <f t="shared" si="30"/>
        <v>0</v>
      </c>
      <c r="P120" s="505">
        <f t="shared" si="31"/>
        <v>0</v>
      </c>
      <c r="Q120" s="244"/>
      <c r="R120" s="244"/>
      <c r="S120" s="244"/>
      <c r="T120" s="244"/>
      <c r="U120" s="244"/>
    </row>
    <row r="121" spans="2:21" ht="12.5">
      <c r="B121" s="145" t="str">
        <f t="shared" si="32"/>
        <v/>
      </c>
      <c r="C121" s="496">
        <f>IF(D94="","-",+C120+1)</f>
        <v>2031</v>
      </c>
      <c r="D121" s="350">
        <f>IF(F120+SUM(E$100:E120)=D$93,F120,D$93-SUM(E$100:E120))</f>
        <v>192582.20689501002</v>
      </c>
      <c r="E121" s="510">
        <f>IF(+J97&lt;F120,J97,D121)</f>
        <v>38095.684210526313</v>
      </c>
      <c r="F121" s="511">
        <f t="shared" si="46"/>
        <v>154486.5226844837</v>
      </c>
      <c r="G121" s="511">
        <f t="shared" si="47"/>
        <v>173534.36478974688</v>
      </c>
      <c r="H121" s="645">
        <f t="shared" si="48"/>
        <v>57120.978558894771</v>
      </c>
      <c r="I121" s="573">
        <f t="shared" si="49"/>
        <v>57120.978558894771</v>
      </c>
      <c r="J121" s="505">
        <f t="shared" si="27"/>
        <v>0</v>
      </c>
      <c r="K121" s="505"/>
      <c r="L121" s="513"/>
      <c r="M121" s="505">
        <f t="shared" si="33"/>
        <v>0</v>
      </c>
      <c r="N121" s="513"/>
      <c r="O121" s="505">
        <f t="shared" si="30"/>
        <v>0</v>
      </c>
      <c r="P121" s="505">
        <f t="shared" si="31"/>
        <v>0</v>
      </c>
      <c r="Q121" s="244"/>
      <c r="R121" s="244"/>
      <c r="S121" s="244"/>
      <c r="T121" s="244"/>
      <c r="U121" s="244"/>
    </row>
    <row r="122" spans="2:21" ht="12.5">
      <c r="B122" s="145" t="str">
        <f t="shared" si="32"/>
        <v/>
      </c>
      <c r="C122" s="496">
        <f>IF(D94="","-",+C121+1)</f>
        <v>2032</v>
      </c>
      <c r="D122" s="350">
        <f>IF(F121+SUM(E$100:E121)=D$93,F121,D$93-SUM(E$100:E121))</f>
        <v>154486.5226844837</v>
      </c>
      <c r="E122" s="510">
        <f>IF(+J97&lt;F121,J97,D122)</f>
        <v>38095.684210526313</v>
      </c>
      <c r="F122" s="511">
        <f t="shared" si="46"/>
        <v>116390.83847395738</v>
      </c>
      <c r="G122" s="511">
        <f t="shared" si="47"/>
        <v>135438.68057922053</v>
      </c>
      <c r="H122" s="645">
        <f t="shared" si="48"/>
        <v>52944.390213491846</v>
      </c>
      <c r="I122" s="573">
        <f t="shared" si="49"/>
        <v>52944.390213491846</v>
      </c>
      <c r="J122" s="505">
        <f t="shared" si="27"/>
        <v>0</v>
      </c>
      <c r="K122" s="505"/>
      <c r="L122" s="513"/>
      <c r="M122" s="505">
        <f t="shared" si="33"/>
        <v>0</v>
      </c>
      <c r="N122" s="513"/>
      <c r="O122" s="505">
        <f t="shared" si="30"/>
        <v>0</v>
      </c>
      <c r="P122" s="505">
        <f t="shared" si="31"/>
        <v>0</v>
      </c>
      <c r="Q122" s="244"/>
      <c r="R122" s="244"/>
      <c r="S122" s="244"/>
      <c r="T122" s="244"/>
      <c r="U122" s="244"/>
    </row>
    <row r="123" spans="2:21" ht="12.5">
      <c r="B123" s="145" t="str">
        <f t="shared" si="32"/>
        <v/>
      </c>
      <c r="C123" s="496">
        <f>IF(D94="","-",+C122+1)</f>
        <v>2033</v>
      </c>
      <c r="D123" s="350">
        <f>IF(F122+SUM(E$100:E122)=D$93,F122,D$93-SUM(E$100:E122))</f>
        <v>116390.83847395738</v>
      </c>
      <c r="E123" s="510">
        <f>IF(+J97&lt;F122,J97,D123)</f>
        <v>38095.684210526313</v>
      </c>
      <c r="F123" s="511">
        <f t="shared" si="46"/>
        <v>78295.154263431061</v>
      </c>
      <c r="G123" s="511">
        <f t="shared" si="47"/>
        <v>97342.996368694221</v>
      </c>
      <c r="H123" s="645">
        <f t="shared" si="48"/>
        <v>48767.801868088922</v>
      </c>
      <c r="I123" s="573">
        <f t="shared" si="49"/>
        <v>48767.801868088922</v>
      </c>
      <c r="J123" s="505">
        <f t="shared" si="27"/>
        <v>0</v>
      </c>
      <c r="K123" s="505"/>
      <c r="L123" s="513"/>
      <c r="M123" s="505">
        <f t="shared" si="33"/>
        <v>0</v>
      </c>
      <c r="N123" s="513"/>
      <c r="O123" s="505">
        <f t="shared" si="30"/>
        <v>0</v>
      </c>
      <c r="P123" s="505">
        <f t="shared" si="31"/>
        <v>0</v>
      </c>
      <c r="Q123" s="244"/>
      <c r="R123" s="244"/>
      <c r="S123" s="244"/>
      <c r="T123" s="244"/>
      <c r="U123" s="244"/>
    </row>
    <row r="124" spans="2:21" ht="12.5">
      <c r="B124" s="145" t="str">
        <f t="shared" si="32"/>
        <v/>
      </c>
      <c r="C124" s="496">
        <f>IF(D94="","-",+C123+1)</f>
        <v>2034</v>
      </c>
      <c r="D124" s="350">
        <f>IF(F123+SUM(E$100:E123)=D$93,F123,D$93-SUM(E$100:E123))</f>
        <v>78295.154263431061</v>
      </c>
      <c r="E124" s="510">
        <f>IF(+J97&lt;F123,J97,D124)</f>
        <v>38095.684210526313</v>
      </c>
      <c r="F124" s="511">
        <f t="shared" si="46"/>
        <v>40199.470052904748</v>
      </c>
      <c r="G124" s="511">
        <f t="shared" si="47"/>
        <v>59247.312158167901</v>
      </c>
      <c r="H124" s="645">
        <f t="shared" si="48"/>
        <v>44591.213522686005</v>
      </c>
      <c r="I124" s="573">
        <f t="shared" si="49"/>
        <v>44591.213522686005</v>
      </c>
      <c r="J124" s="505">
        <f t="shared" si="27"/>
        <v>0</v>
      </c>
      <c r="K124" s="505"/>
      <c r="L124" s="513"/>
      <c r="M124" s="505">
        <f t="shared" si="33"/>
        <v>0</v>
      </c>
      <c r="N124" s="513"/>
      <c r="O124" s="505">
        <f t="shared" si="30"/>
        <v>0</v>
      </c>
      <c r="P124" s="505">
        <f t="shared" si="31"/>
        <v>0</v>
      </c>
      <c r="Q124" s="244"/>
      <c r="R124" s="244"/>
      <c r="S124" s="244"/>
      <c r="T124" s="244"/>
      <c r="U124" s="244"/>
    </row>
    <row r="125" spans="2:21" ht="12.5">
      <c r="B125" s="145" t="str">
        <f t="shared" si="32"/>
        <v/>
      </c>
      <c r="C125" s="496">
        <f>IF(D94="","-",+C124+1)</f>
        <v>2035</v>
      </c>
      <c r="D125" s="350">
        <f>IF(F124+SUM(E$100:E124)=D$93,F124,D$93-SUM(E$100:E124))</f>
        <v>40199.470052904748</v>
      </c>
      <c r="E125" s="510">
        <f>IF(+J97&lt;F124,J97,D125)</f>
        <v>38095.684210526313</v>
      </c>
      <c r="F125" s="511">
        <f t="shared" si="46"/>
        <v>2103.7858423784346</v>
      </c>
      <c r="G125" s="511">
        <f t="shared" si="47"/>
        <v>21151.627947641591</v>
      </c>
      <c r="H125" s="645">
        <f t="shared" si="48"/>
        <v>40414.625177283087</v>
      </c>
      <c r="I125" s="573">
        <f t="shared" si="49"/>
        <v>40414.625177283087</v>
      </c>
      <c r="J125" s="505">
        <f t="shared" si="27"/>
        <v>0</v>
      </c>
      <c r="K125" s="505"/>
      <c r="L125" s="513"/>
      <c r="M125" s="505">
        <f t="shared" si="33"/>
        <v>0</v>
      </c>
      <c r="N125" s="513"/>
      <c r="O125" s="505">
        <f t="shared" si="30"/>
        <v>0</v>
      </c>
      <c r="P125" s="505">
        <f t="shared" si="31"/>
        <v>0</v>
      </c>
      <c r="Q125" s="244"/>
      <c r="R125" s="244"/>
      <c r="S125" s="244"/>
      <c r="T125" s="244"/>
      <c r="U125" s="244"/>
    </row>
    <row r="126" spans="2:21" ht="12.5">
      <c r="B126" s="145" t="str">
        <f t="shared" si="32"/>
        <v/>
      </c>
      <c r="C126" s="496">
        <f>IF(D94="","-",+C125+1)</f>
        <v>2036</v>
      </c>
      <c r="D126" s="350">
        <f>IF(F125+SUM(E$100:E125)=D$93,F125,D$93-SUM(E$100:E125))</f>
        <v>2103.7858423784346</v>
      </c>
      <c r="E126" s="510">
        <f>IF(+J97&lt;F125,J97,D126)</f>
        <v>2103.7858423784346</v>
      </c>
      <c r="F126" s="511">
        <f t="shared" si="46"/>
        <v>0</v>
      </c>
      <c r="G126" s="511">
        <f t="shared" si="47"/>
        <v>1051.8929211892173</v>
      </c>
      <c r="H126" s="645">
        <f t="shared" si="48"/>
        <v>2219.1092394060902</v>
      </c>
      <c r="I126" s="573">
        <f t="shared" si="49"/>
        <v>2219.1092394060902</v>
      </c>
      <c r="J126" s="505">
        <f t="shared" si="27"/>
        <v>0</v>
      </c>
      <c r="K126" s="505"/>
      <c r="L126" s="513"/>
      <c r="M126" s="505">
        <f t="shared" si="33"/>
        <v>0</v>
      </c>
      <c r="N126" s="513"/>
      <c r="O126" s="505">
        <f t="shared" si="30"/>
        <v>0</v>
      </c>
      <c r="P126" s="505">
        <f t="shared" si="31"/>
        <v>0</v>
      </c>
      <c r="Q126" s="244"/>
      <c r="R126" s="244"/>
      <c r="S126" s="244"/>
      <c r="T126" s="244"/>
      <c r="U126" s="244"/>
    </row>
    <row r="127" spans="2:21" ht="12.5">
      <c r="B127" s="145" t="str">
        <f t="shared" si="32"/>
        <v/>
      </c>
      <c r="C127" s="496">
        <f>IF(D94="","-",+C126+1)</f>
        <v>2037</v>
      </c>
      <c r="D127" s="350">
        <f>IF(F126+SUM(E$100:E126)=D$93,F126,D$93-SUM(E$100:E126))</f>
        <v>0</v>
      </c>
      <c r="E127" s="510">
        <f>IF(+J97&lt;F126,J97,D127)</f>
        <v>0</v>
      </c>
      <c r="F127" s="511">
        <f t="shared" si="46"/>
        <v>0</v>
      </c>
      <c r="G127" s="511">
        <f t="shared" si="47"/>
        <v>0</v>
      </c>
      <c r="H127" s="645">
        <f t="shared" si="48"/>
        <v>0</v>
      </c>
      <c r="I127" s="573">
        <f t="shared" si="49"/>
        <v>0</v>
      </c>
      <c r="J127" s="505">
        <f t="shared" si="27"/>
        <v>0</v>
      </c>
      <c r="K127" s="505"/>
      <c r="L127" s="513"/>
      <c r="M127" s="505">
        <f t="shared" si="33"/>
        <v>0</v>
      </c>
      <c r="N127" s="513"/>
      <c r="O127" s="505">
        <f t="shared" si="30"/>
        <v>0</v>
      </c>
      <c r="P127" s="505">
        <f t="shared" si="31"/>
        <v>0</v>
      </c>
      <c r="Q127" s="244"/>
      <c r="R127" s="244"/>
      <c r="S127" s="244"/>
      <c r="T127" s="244"/>
      <c r="U127" s="244"/>
    </row>
    <row r="128" spans="2:21" ht="12.5">
      <c r="B128" s="145" t="str">
        <f t="shared" si="32"/>
        <v/>
      </c>
      <c r="C128" s="496">
        <f>IF(D94="","-",+C127+1)</f>
        <v>2038</v>
      </c>
      <c r="D128" s="350">
        <f>IF(F127+SUM(E$100:E127)=D$93,F127,D$93-SUM(E$100:E127))</f>
        <v>0</v>
      </c>
      <c r="E128" s="510">
        <f>IF(+J97&lt;F127,J97,D128)</f>
        <v>0</v>
      </c>
      <c r="F128" s="511">
        <f t="shared" si="46"/>
        <v>0</v>
      </c>
      <c r="G128" s="511">
        <f t="shared" si="47"/>
        <v>0</v>
      </c>
      <c r="H128" s="645">
        <f t="shared" si="48"/>
        <v>0</v>
      </c>
      <c r="I128" s="573">
        <f t="shared" si="49"/>
        <v>0</v>
      </c>
      <c r="J128" s="505">
        <f t="shared" si="27"/>
        <v>0</v>
      </c>
      <c r="K128" s="505"/>
      <c r="L128" s="513"/>
      <c r="M128" s="505">
        <f t="shared" si="33"/>
        <v>0</v>
      </c>
      <c r="N128" s="513"/>
      <c r="O128" s="505">
        <f t="shared" si="30"/>
        <v>0</v>
      </c>
      <c r="P128" s="505">
        <f t="shared" si="31"/>
        <v>0</v>
      </c>
      <c r="Q128" s="244"/>
      <c r="R128" s="244"/>
      <c r="S128" s="244"/>
      <c r="T128" s="244"/>
      <c r="U128" s="244"/>
    </row>
    <row r="129" spans="2:21" ht="12.5">
      <c r="B129" s="145" t="str">
        <f t="shared" si="32"/>
        <v/>
      </c>
      <c r="C129" s="496">
        <f>IF(D94="","-",+C128+1)</f>
        <v>2039</v>
      </c>
      <c r="D129" s="350">
        <f>IF(F128+SUM(E$100:E128)=D$93,F128,D$93-SUM(E$100:E128))</f>
        <v>0</v>
      </c>
      <c r="E129" s="510">
        <f>IF(+J97&lt;F128,J97,D129)</f>
        <v>0</v>
      </c>
      <c r="F129" s="511">
        <f t="shared" si="46"/>
        <v>0</v>
      </c>
      <c r="G129" s="511">
        <f t="shared" si="47"/>
        <v>0</v>
      </c>
      <c r="H129" s="645">
        <f t="shared" si="48"/>
        <v>0</v>
      </c>
      <c r="I129" s="573">
        <f t="shared" si="49"/>
        <v>0</v>
      </c>
      <c r="J129" s="505">
        <f t="shared" si="27"/>
        <v>0</v>
      </c>
      <c r="K129" s="505"/>
      <c r="L129" s="513"/>
      <c r="M129" s="505">
        <f t="shared" si="33"/>
        <v>0</v>
      </c>
      <c r="N129" s="513"/>
      <c r="O129" s="505">
        <f t="shared" si="30"/>
        <v>0</v>
      </c>
      <c r="P129" s="505">
        <f t="shared" si="31"/>
        <v>0</v>
      </c>
      <c r="Q129" s="244"/>
      <c r="R129" s="244"/>
      <c r="S129" s="244"/>
      <c r="T129" s="244"/>
      <c r="U129" s="244"/>
    </row>
    <row r="130" spans="2:21" ht="12.5">
      <c r="B130" s="145" t="str">
        <f t="shared" si="32"/>
        <v/>
      </c>
      <c r="C130" s="496">
        <f>IF(D94="","-",+C129+1)</f>
        <v>2040</v>
      </c>
      <c r="D130" s="350">
        <f>IF(F129+SUM(E$100:E129)=D$93,F129,D$93-SUM(E$100:E129))</f>
        <v>0</v>
      </c>
      <c r="E130" s="510">
        <f>IF(+J97&lt;F129,J97,D130)</f>
        <v>0</v>
      </c>
      <c r="F130" s="511">
        <f t="shared" si="46"/>
        <v>0</v>
      </c>
      <c r="G130" s="511">
        <f t="shared" si="47"/>
        <v>0</v>
      </c>
      <c r="H130" s="645">
        <f t="shared" si="48"/>
        <v>0</v>
      </c>
      <c r="I130" s="573">
        <f t="shared" si="49"/>
        <v>0</v>
      </c>
      <c r="J130" s="505">
        <f t="shared" si="27"/>
        <v>0</v>
      </c>
      <c r="K130" s="505"/>
      <c r="L130" s="513"/>
      <c r="M130" s="505">
        <f t="shared" si="33"/>
        <v>0</v>
      </c>
      <c r="N130" s="513"/>
      <c r="O130" s="505">
        <f t="shared" si="30"/>
        <v>0</v>
      </c>
      <c r="P130" s="505">
        <f t="shared" si="31"/>
        <v>0</v>
      </c>
      <c r="Q130" s="244"/>
      <c r="R130" s="244"/>
      <c r="S130" s="244"/>
      <c r="T130" s="244"/>
      <c r="U130" s="244"/>
    </row>
    <row r="131" spans="2:21" ht="12.5">
      <c r="B131" s="145" t="str">
        <f t="shared" si="32"/>
        <v/>
      </c>
      <c r="C131" s="496">
        <f>IF(D94="","-",+C130+1)</f>
        <v>2041</v>
      </c>
      <c r="D131" s="350">
        <f>IF(F130+SUM(E$100:E130)=D$93,F130,D$93-SUM(E$100:E130))</f>
        <v>0</v>
      </c>
      <c r="E131" s="510">
        <f>IF(+J97&lt;F130,J97,D131)</f>
        <v>0</v>
      </c>
      <c r="F131" s="511">
        <f t="shared" si="46"/>
        <v>0</v>
      </c>
      <c r="G131" s="511">
        <f t="shared" si="47"/>
        <v>0</v>
      </c>
      <c r="H131" s="645">
        <f t="shared" si="48"/>
        <v>0</v>
      </c>
      <c r="I131" s="573">
        <f t="shared" si="49"/>
        <v>0</v>
      </c>
      <c r="J131" s="505">
        <f t="shared" si="27"/>
        <v>0</v>
      </c>
      <c r="K131" s="505"/>
      <c r="L131" s="513"/>
      <c r="M131" s="505">
        <f t="shared" si="33"/>
        <v>0</v>
      </c>
      <c r="N131" s="513"/>
      <c r="O131" s="505">
        <f t="shared" si="30"/>
        <v>0</v>
      </c>
      <c r="P131" s="505">
        <f t="shared" si="31"/>
        <v>0</v>
      </c>
      <c r="Q131" s="244"/>
      <c r="R131" s="244"/>
      <c r="S131" s="244"/>
      <c r="T131" s="244"/>
      <c r="U131" s="244"/>
    </row>
    <row r="132" spans="2:21" ht="12.5">
      <c r="B132" s="145" t="str">
        <f t="shared" si="32"/>
        <v/>
      </c>
      <c r="C132" s="496">
        <f>IF(D94="","-",+C131+1)</f>
        <v>2042</v>
      </c>
      <c r="D132" s="350">
        <f>IF(F131+SUM(E$100:E131)=D$93,F131,D$93-SUM(E$100:E131))</f>
        <v>0</v>
      </c>
      <c r="E132" s="510">
        <f>IF(+J97&lt;F131,J97,D132)</f>
        <v>0</v>
      </c>
      <c r="F132" s="511">
        <f t="shared" ref="F132:F155" si="50">+D132-E132</f>
        <v>0</v>
      </c>
      <c r="G132" s="511">
        <f t="shared" ref="G132:G155" si="51">+(F132+D132)/2</f>
        <v>0</v>
      </c>
      <c r="H132" s="645">
        <f t="shared" si="48"/>
        <v>0</v>
      </c>
      <c r="I132" s="573">
        <f t="shared" si="49"/>
        <v>0</v>
      </c>
      <c r="J132" s="505">
        <f t="shared" ref="J132:J155" si="52">+I132-H132</f>
        <v>0</v>
      </c>
      <c r="K132" s="505"/>
      <c r="L132" s="513"/>
      <c r="M132" s="505">
        <f t="shared" ref="M132:M155" si="53">IF(L132&lt;&gt;0,+H132-L132,0)</f>
        <v>0</v>
      </c>
      <c r="N132" s="513"/>
      <c r="O132" s="505">
        <f t="shared" ref="O132:O155" si="54">IF(N132&lt;&gt;0,+I132-N132,0)</f>
        <v>0</v>
      </c>
      <c r="P132" s="505">
        <f t="shared" ref="P132:P155" si="55">+O132-M132</f>
        <v>0</v>
      </c>
      <c r="Q132" s="244"/>
      <c r="R132" s="244"/>
      <c r="S132" s="244"/>
      <c r="T132" s="244"/>
      <c r="U132" s="244"/>
    </row>
    <row r="133" spans="2:21" ht="12.5">
      <c r="B133" s="145" t="str">
        <f t="shared" si="32"/>
        <v/>
      </c>
      <c r="C133" s="496">
        <f>IF(D94="","-",+C132+1)</f>
        <v>2043</v>
      </c>
      <c r="D133" s="350">
        <f>IF(F132+SUM(E$100:E132)=D$93,F132,D$93-SUM(E$100:E132))</f>
        <v>0</v>
      </c>
      <c r="E133" s="510">
        <f>IF(+J97&lt;F132,J97,D133)</f>
        <v>0</v>
      </c>
      <c r="F133" s="511">
        <f t="shared" si="50"/>
        <v>0</v>
      </c>
      <c r="G133" s="511">
        <f t="shared" si="51"/>
        <v>0</v>
      </c>
      <c r="H133" s="645">
        <f t="shared" si="48"/>
        <v>0</v>
      </c>
      <c r="I133" s="573">
        <f t="shared" ref="I133:I155" si="56">+J$96*G133+E133</f>
        <v>0</v>
      </c>
      <c r="J133" s="505">
        <f t="shared" si="52"/>
        <v>0</v>
      </c>
      <c r="K133" s="505"/>
      <c r="L133" s="513"/>
      <c r="M133" s="505">
        <f t="shared" si="53"/>
        <v>0</v>
      </c>
      <c r="N133" s="513"/>
      <c r="O133" s="505">
        <f t="shared" si="54"/>
        <v>0</v>
      </c>
      <c r="P133" s="505">
        <f t="shared" si="55"/>
        <v>0</v>
      </c>
      <c r="Q133" s="244"/>
      <c r="R133" s="244"/>
      <c r="S133" s="244"/>
      <c r="T133" s="244"/>
      <c r="U133" s="244"/>
    </row>
    <row r="134" spans="2:21" ht="12.5">
      <c r="B134" s="145" t="str">
        <f t="shared" si="32"/>
        <v/>
      </c>
      <c r="C134" s="496">
        <f>IF(D94="","-",+C133+1)</f>
        <v>2044</v>
      </c>
      <c r="D134" s="350">
        <f>IF(F133+SUM(E$100:E133)=D$93,F133,D$93-SUM(E$100:E133))</f>
        <v>0</v>
      </c>
      <c r="E134" s="510">
        <f>IF(+J97&lt;F133,J97,D134)</f>
        <v>0</v>
      </c>
      <c r="F134" s="511">
        <f t="shared" si="50"/>
        <v>0</v>
      </c>
      <c r="G134" s="511">
        <f t="shared" si="51"/>
        <v>0</v>
      </c>
      <c r="H134" s="645">
        <f t="shared" si="48"/>
        <v>0</v>
      </c>
      <c r="I134" s="573">
        <f t="shared" si="56"/>
        <v>0</v>
      </c>
      <c r="J134" s="505">
        <f t="shared" si="52"/>
        <v>0</v>
      </c>
      <c r="K134" s="505"/>
      <c r="L134" s="513"/>
      <c r="M134" s="505">
        <f t="shared" si="53"/>
        <v>0</v>
      </c>
      <c r="N134" s="513"/>
      <c r="O134" s="505">
        <f t="shared" si="54"/>
        <v>0</v>
      </c>
      <c r="P134" s="505">
        <f t="shared" si="55"/>
        <v>0</v>
      </c>
      <c r="Q134" s="244"/>
      <c r="R134" s="244"/>
      <c r="S134" s="244"/>
      <c r="T134" s="244"/>
      <c r="U134" s="244"/>
    </row>
    <row r="135" spans="2:21" ht="12.5">
      <c r="B135" s="145" t="str">
        <f t="shared" si="32"/>
        <v/>
      </c>
      <c r="C135" s="496">
        <f>IF(D94="","-",+C134+1)</f>
        <v>2045</v>
      </c>
      <c r="D135" s="350">
        <f>IF(F134+SUM(E$100:E134)=D$93,F134,D$93-SUM(E$100:E134))</f>
        <v>0</v>
      </c>
      <c r="E135" s="510">
        <f>IF(+J97&lt;F134,J97,D135)</f>
        <v>0</v>
      </c>
      <c r="F135" s="511">
        <f t="shared" si="50"/>
        <v>0</v>
      </c>
      <c r="G135" s="511">
        <f t="shared" si="51"/>
        <v>0</v>
      </c>
      <c r="H135" s="645">
        <f t="shared" si="48"/>
        <v>0</v>
      </c>
      <c r="I135" s="573">
        <f t="shared" si="56"/>
        <v>0</v>
      </c>
      <c r="J135" s="505">
        <f t="shared" si="52"/>
        <v>0</v>
      </c>
      <c r="K135" s="505"/>
      <c r="L135" s="513"/>
      <c r="M135" s="505">
        <f t="shared" si="53"/>
        <v>0</v>
      </c>
      <c r="N135" s="513"/>
      <c r="O135" s="505">
        <f t="shared" si="54"/>
        <v>0</v>
      </c>
      <c r="P135" s="505">
        <f t="shared" si="55"/>
        <v>0</v>
      </c>
      <c r="Q135" s="244"/>
      <c r="R135" s="244"/>
      <c r="S135" s="244"/>
      <c r="T135" s="244"/>
      <c r="U135" s="244"/>
    </row>
    <row r="136" spans="2:21" ht="12.5">
      <c r="B136" s="145" t="str">
        <f t="shared" si="32"/>
        <v/>
      </c>
      <c r="C136" s="496">
        <f>IF(D94="","-",+C135+1)</f>
        <v>2046</v>
      </c>
      <c r="D136" s="350">
        <f>IF(F135+SUM(E$100:E135)=D$93,F135,D$93-SUM(E$100:E135))</f>
        <v>0</v>
      </c>
      <c r="E136" s="510">
        <f>IF(+J97&lt;F135,J97,D136)</f>
        <v>0</v>
      </c>
      <c r="F136" s="511">
        <f t="shared" si="50"/>
        <v>0</v>
      </c>
      <c r="G136" s="511">
        <f t="shared" si="51"/>
        <v>0</v>
      </c>
      <c r="H136" s="645">
        <f t="shared" si="48"/>
        <v>0</v>
      </c>
      <c r="I136" s="573">
        <f t="shared" si="56"/>
        <v>0</v>
      </c>
      <c r="J136" s="505">
        <f t="shared" si="52"/>
        <v>0</v>
      </c>
      <c r="K136" s="505"/>
      <c r="L136" s="513"/>
      <c r="M136" s="505">
        <f t="shared" si="53"/>
        <v>0</v>
      </c>
      <c r="N136" s="513"/>
      <c r="O136" s="505">
        <f t="shared" si="54"/>
        <v>0</v>
      </c>
      <c r="P136" s="505">
        <f t="shared" si="55"/>
        <v>0</v>
      </c>
      <c r="Q136" s="244"/>
      <c r="R136" s="244"/>
      <c r="S136" s="244"/>
      <c r="T136" s="244"/>
      <c r="U136" s="244"/>
    </row>
    <row r="137" spans="2:21" ht="12.5">
      <c r="B137" s="145" t="str">
        <f t="shared" si="32"/>
        <v/>
      </c>
      <c r="C137" s="496">
        <f>IF(D94="","-",+C136+1)</f>
        <v>2047</v>
      </c>
      <c r="D137" s="350">
        <f>IF(F136+SUM(E$100:E136)=D$93,F136,D$93-SUM(E$100:E136))</f>
        <v>0</v>
      </c>
      <c r="E137" s="510">
        <f>IF(+J97&lt;F136,J97,D137)</f>
        <v>0</v>
      </c>
      <c r="F137" s="511">
        <f t="shared" si="50"/>
        <v>0</v>
      </c>
      <c r="G137" s="511">
        <f t="shared" si="51"/>
        <v>0</v>
      </c>
      <c r="H137" s="645">
        <f t="shared" si="48"/>
        <v>0</v>
      </c>
      <c r="I137" s="573">
        <f t="shared" si="56"/>
        <v>0</v>
      </c>
      <c r="J137" s="505">
        <f t="shared" si="52"/>
        <v>0</v>
      </c>
      <c r="K137" s="505"/>
      <c r="L137" s="513"/>
      <c r="M137" s="505">
        <f t="shared" si="53"/>
        <v>0</v>
      </c>
      <c r="N137" s="513"/>
      <c r="O137" s="505">
        <f t="shared" si="54"/>
        <v>0</v>
      </c>
      <c r="P137" s="505">
        <f t="shared" si="55"/>
        <v>0</v>
      </c>
      <c r="Q137" s="244"/>
      <c r="R137" s="244"/>
      <c r="S137" s="244"/>
      <c r="T137" s="244"/>
      <c r="U137" s="244"/>
    </row>
    <row r="138" spans="2:21" ht="12.5">
      <c r="B138" s="145" t="str">
        <f t="shared" si="32"/>
        <v/>
      </c>
      <c r="C138" s="496">
        <f>IF(D94="","-",+C137+1)</f>
        <v>2048</v>
      </c>
      <c r="D138" s="350">
        <f>IF(F137+SUM(E$100:E137)=D$93,F137,D$93-SUM(E$100:E137))</f>
        <v>0</v>
      </c>
      <c r="E138" s="510">
        <f>IF(+J97&lt;F137,J97,D138)</f>
        <v>0</v>
      </c>
      <c r="F138" s="511">
        <f t="shared" si="50"/>
        <v>0</v>
      </c>
      <c r="G138" s="511">
        <f t="shared" si="51"/>
        <v>0</v>
      </c>
      <c r="H138" s="645">
        <f t="shared" si="48"/>
        <v>0</v>
      </c>
      <c r="I138" s="573">
        <f t="shared" si="56"/>
        <v>0</v>
      </c>
      <c r="J138" s="505">
        <f t="shared" si="52"/>
        <v>0</v>
      </c>
      <c r="K138" s="505"/>
      <c r="L138" s="513"/>
      <c r="M138" s="505">
        <f t="shared" si="53"/>
        <v>0</v>
      </c>
      <c r="N138" s="513"/>
      <c r="O138" s="505">
        <f t="shared" si="54"/>
        <v>0</v>
      </c>
      <c r="P138" s="505">
        <f t="shared" si="55"/>
        <v>0</v>
      </c>
      <c r="Q138" s="244"/>
      <c r="R138" s="244"/>
      <c r="S138" s="244"/>
      <c r="T138" s="244"/>
      <c r="U138" s="244"/>
    </row>
    <row r="139" spans="2:21" ht="12.5">
      <c r="B139" s="145" t="str">
        <f t="shared" si="32"/>
        <v/>
      </c>
      <c r="C139" s="496">
        <f>IF(D94="","-",+C138+1)</f>
        <v>2049</v>
      </c>
      <c r="D139" s="350">
        <f>IF(F138+SUM(E$100:E138)=D$93,F138,D$93-SUM(E$100:E138))</f>
        <v>0</v>
      </c>
      <c r="E139" s="510">
        <f>IF(+J97&lt;F138,J97,D139)</f>
        <v>0</v>
      </c>
      <c r="F139" s="511">
        <f t="shared" si="50"/>
        <v>0</v>
      </c>
      <c r="G139" s="511">
        <f t="shared" si="51"/>
        <v>0</v>
      </c>
      <c r="H139" s="645">
        <f t="shared" si="48"/>
        <v>0</v>
      </c>
      <c r="I139" s="573">
        <f t="shared" si="56"/>
        <v>0</v>
      </c>
      <c r="J139" s="505">
        <f t="shared" si="52"/>
        <v>0</v>
      </c>
      <c r="K139" s="505"/>
      <c r="L139" s="513"/>
      <c r="M139" s="505">
        <f t="shared" si="53"/>
        <v>0</v>
      </c>
      <c r="N139" s="513"/>
      <c r="O139" s="505">
        <f t="shared" si="54"/>
        <v>0</v>
      </c>
      <c r="P139" s="505">
        <f t="shared" si="55"/>
        <v>0</v>
      </c>
      <c r="Q139" s="244"/>
      <c r="R139" s="244"/>
      <c r="S139" s="244"/>
      <c r="T139" s="244"/>
      <c r="U139" s="244"/>
    </row>
    <row r="140" spans="2:21" ht="12.5">
      <c r="B140" s="145" t="str">
        <f t="shared" si="32"/>
        <v/>
      </c>
      <c r="C140" s="496">
        <f>IF(D94="","-",+C139+1)</f>
        <v>2050</v>
      </c>
      <c r="D140" s="350">
        <f>IF(F139+SUM(E$100:E139)=D$93,F139,D$93-SUM(E$100:E139))</f>
        <v>0</v>
      </c>
      <c r="E140" s="510">
        <f>IF(+J97&lt;F139,J97,D140)</f>
        <v>0</v>
      </c>
      <c r="F140" s="511">
        <f t="shared" si="50"/>
        <v>0</v>
      </c>
      <c r="G140" s="511">
        <f t="shared" si="51"/>
        <v>0</v>
      </c>
      <c r="H140" s="645">
        <f t="shared" si="48"/>
        <v>0</v>
      </c>
      <c r="I140" s="573">
        <f t="shared" si="56"/>
        <v>0</v>
      </c>
      <c r="J140" s="505">
        <f t="shared" si="52"/>
        <v>0</v>
      </c>
      <c r="K140" s="505"/>
      <c r="L140" s="513"/>
      <c r="M140" s="505">
        <f t="shared" si="53"/>
        <v>0</v>
      </c>
      <c r="N140" s="513"/>
      <c r="O140" s="505">
        <f t="shared" si="54"/>
        <v>0</v>
      </c>
      <c r="P140" s="505">
        <f t="shared" si="55"/>
        <v>0</v>
      </c>
      <c r="Q140" s="244"/>
      <c r="R140" s="244"/>
      <c r="S140" s="244"/>
      <c r="T140" s="244"/>
      <c r="U140" s="244"/>
    </row>
    <row r="141" spans="2:21" ht="12.5">
      <c r="B141" s="145" t="str">
        <f t="shared" si="32"/>
        <v/>
      </c>
      <c r="C141" s="496">
        <f>IF(D94="","-",+C140+1)</f>
        <v>2051</v>
      </c>
      <c r="D141" s="350">
        <f>IF(F140+SUM(E$100:E140)=D$93,F140,D$93-SUM(E$100:E140))</f>
        <v>0</v>
      </c>
      <c r="E141" s="510">
        <f>IF(+J97&lt;F140,J97,D141)</f>
        <v>0</v>
      </c>
      <c r="F141" s="511">
        <f t="shared" si="50"/>
        <v>0</v>
      </c>
      <c r="G141" s="511">
        <f t="shared" si="51"/>
        <v>0</v>
      </c>
      <c r="H141" s="645">
        <f t="shared" si="48"/>
        <v>0</v>
      </c>
      <c r="I141" s="573">
        <f t="shared" si="56"/>
        <v>0</v>
      </c>
      <c r="J141" s="505">
        <f t="shared" si="52"/>
        <v>0</v>
      </c>
      <c r="K141" s="505"/>
      <c r="L141" s="513"/>
      <c r="M141" s="505">
        <f t="shared" si="53"/>
        <v>0</v>
      </c>
      <c r="N141" s="513"/>
      <c r="O141" s="505">
        <f t="shared" si="54"/>
        <v>0</v>
      </c>
      <c r="P141" s="505">
        <f t="shared" si="55"/>
        <v>0</v>
      </c>
      <c r="Q141" s="244"/>
      <c r="R141" s="244"/>
      <c r="S141" s="244"/>
      <c r="T141" s="244"/>
      <c r="U141" s="244"/>
    </row>
    <row r="142" spans="2:21" ht="12.5">
      <c r="B142" s="145" t="str">
        <f t="shared" si="32"/>
        <v/>
      </c>
      <c r="C142" s="496">
        <f>IF(D94="","-",+C141+1)</f>
        <v>2052</v>
      </c>
      <c r="D142" s="350">
        <f>IF(F141+SUM(E$100:E141)=D$93,F141,D$93-SUM(E$100:E141))</f>
        <v>0</v>
      </c>
      <c r="E142" s="510">
        <f>IF(+J97&lt;F141,J97,D142)</f>
        <v>0</v>
      </c>
      <c r="F142" s="511">
        <f t="shared" si="50"/>
        <v>0</v>
      </c>
      <c r="G142" s="511">
        <f t="shared" si="51"/>
        <v>0</v>
      </c>
      <c r="H142" s="645">
        <f t="shared" si="48"/>
        <v>0</v>
      </c>
      <c r="I142" s="573">
        <f t="shared" si="56"/>
        <v>0</v>
      </c>
      <c r="J142" s="505">
        <f t="shared" si="52"/>
        <v>0</v>
      </c>
      <c r="K142" s="505"/>
      <c r="L142" s="513"/>
      <c r="M142" s="505">
        <f t="shared" si="53"/>
        <v>0</v>
      </c>
      <c r="N142" s="513"/>
      <c r="O142" s="505">
        <f t="shared" si="54"/>
        <v>0</v>
      </c>
      <c r="P142" s="505">
        <f t="shared" si="55"/>
        <v>0</v>
      </c>
      <c r="Q142" s="244"/>
      <c r="R142" s="244"/>
      <c r="S142" s="244"/>
      <c r="T142" s="244"/>
      <c r="U142" s="244"/>
    </row>
    <row r="143" spans="2:21" ht="12.5">
      <c r="B143" s="145" t="str">
        <f t="shared" si="32"/>
        <v/>
      </c>
      <c r="C143" s="496">
        <f>IF(D94="","-",+C142+1)</f>
        <v>2053</v>
      </c>
      <c r="D143" s="350">
        <f>IF(F142+SUM(E$100:E142)=D$93,F142,D$93-SUM(E$100:E142))</f>
        <v>0</v>
      </c>
      <c r="E143" s="510">
        <f>IF(+J97&lt;F142,J97,D143)</f>
        <v>0</v>
      </c>
      <c r="F143" s="511">
        <f t="shared" si="50"/>
        <v>0</v>
      </c>
      <c r="G143" s="511">
        <f t="shared" si="51"/>
        <v>0</v>
      </c>
      <c r="H143" s="645">
        <f t="shared" si="48"/>
        <v>0</v>
      </c>
      <c r="I143" s="573">
        <f t="shared" si="56"/>
        <v>0</v>
      </c>
      <c r="J143" s="505">
        <f t="shared" si="52"/>
        <v>0</v>
      </c>
      <c r="K143" s="505"/>
      <c r="L143" s="513"/>
      <c r="M143" s="505">
        <f t="shared" si="53"/>
        <v>0</v>
      </c>
      <c r="N143" s="513"/>
      <c r="O143" s="505">
        <f t="shared" si="54"/>
        <v>0</v>
      </c>
      <c r="P143" s="505">
        <f t="shared" si="55"/>
        <v>0</v>
      </c>
      <c r="Q143" s="244"/>
      <c r="R143" s="244"/>
      <c r="S143" s="244"/>
      <c r="T143" s="244"/>
      <c r="U143" s="244"/>
    </row>
    <row r="144" spans="2:21" ht="12.5">
      <c r="B144" s="145" t="str">
        <f t="shared" si="32"/>
        <v/>
      </c>
      <c r="C144" s="496">
        <f>IF(D94="","-",+C143+1)</f>
        <v>2054</v>
      </c>
      <c r="D144" s="350">
        <f>IF(F143+SUM(E$100:E143)=D$93,F143,D$93-SUM(E$100:E143))</f>
        <v>0</v>
      </c>
      <c r="E144" s="510">
        <f>IF(+J97&lt;F143,J97,D144)</f>
        <v>0</v>
      </c>
      <c r="F144" s="511">
        <f t="shared" si="50"/>
        <v>0</v>
      </c>
      <c r="G144" s="511">
        <f t="shared" si="51"/>
        <v>0</v>
      </c>
      <c r="H144" s="645">
        <f t="shared" si="48"/>
        <v>0</v>
      </c>
      <c r="I144" s="573">
        <f t="shared" si="56"/>
        <v>0</v>
      </c>
      <c r="J144" s="505">
        <f t="shared" si="52"/>
        <v>0</v>
      </c>
      <c r="K144" s="505"/>
      <c r="L144" s="513"/>
      <c r="M144" s="505">
        <f t="shared" si="53"/>
        <v>0</v>
      </c>
      <c r="N144" s="513"/>
      <c r="O144" s="505">
        <f t="shared" si="54"/>
        <v>0</v>
      </c>
      <c r="P144" s="505">
        <f t="shared" si="55"/>
        <v>0</v>
      </c>
      <c r="Q144" s="244"/>
      <c r="R144" s="244"/>
      <c r="S144" s="244"/>
      <c r="T144" s="244"/>
      <c r="U144" s="244"/>
    </row>
    <row r="145" spans="2:21" ht="12.5">
      <c r="B145" s="145" t="str">
        <f t="shared" si="32"/>
        <v/>
      </c>
      <c r="C145" s="496">
        <f>IF(D94="","-",+C144+1)</f>
        <v>2055</v>
      </c>
      <c r="D145" s="350">
        <f>IF(F144+SUM(E$100:E144)=D$93,F144,D$93-SUM(E$100:E144))</f>
        <v>0</v>
      </c>
      <c r="E145" s="510">
        <f>IF(+J97&lt;F144,J97,D145)</f>
        <v>0</v>
      </c>
      <c r="F145" s="511">
        <f t="shared" si="50"/>
        <v>0</v>
      </c>
      <c r="G145" s="511">
        <f t="shared" si="51"/>
        <v>0</v>
      </c>
      <c r="H145" s="645">
        <f t="shared" si="48"/>
        <v>0</v>
      </c>
      <c r="I145" s="573">
        <f t="shared" si="56"/>
        <v>0</v>
      </c>
      <c r="J145" s="505">
        <f t="shared" si="52"/>
        <v>0</v>
      </c>
      <c r="K145" s="505"/>
      <c r="L145" s="513"/>
      <c r="M145" s="505">
        <f t="shared" si="53"/>
        <v>0</v>
      </c>
      <c r="N145" s="513"/>
      <c r="O145" s="505">
        <f t="shared" si="54"/>
        <v>0</v>
      </c>
      <c r="P145" s="505">
        <f t="shared" si="55"/>
        <v>0</v>
      </c>
      <c r="Q145" s="244"/>
      <c r="R145" s="244"/>
      <c r="S145" s="244"/>
      <c r="T145" s="244"/>
      <c r="U145" s="244"/>
    </row>
    <row r="146" spans="2:21" ht="12.5">
      <c r="B146" s="145" t="str">
        <f t="shared" si="32"/>
        <v/>
      </c>
      <c r="C146" s="496">
        <f>IF(D94="","-",+C145+1)</f>
        <v>2056</v>
      </c>
      <c r="D146" s="350">
        <f>IF(F145+SUM(E$100:E145)=D$93,F145,D$93-SUM(E$100:E145))</f>
        <v>0</v>
      </c>
      <c r="E146" s="510">
        <f>IF(+J97&lt;F145,J97,D146)</f>
        <v>0</v>
      </c>
      <c r="F146" s="511">
        <f t="shared" si="50"/>
        <v>0</v>
      </c>
      <c r="G146" s="511">
        <f t="shared" si="51"/>
        <v>0</v>
      </c>
      <c r="H146" s="645">
        <f t="shared" si="48"/>
        <v>0</v>
      </c>
      <c r="I146" s="573">
        <f t="shared" si="56"/>
        <v>0</v>
      </c>
      <c r="J146" s="505">
        <f t="shared" si="52"/>
        <v>0</v>
      </c>
      <c r="K146" s="505"/>
      <c r="L146" s="513"/>
      <c r="M146" s="505">
        <f t="shared" si="53"/>
        <v>0</v>
      </c>
      <c r="N146" s="513"/>
      <c r="O146" s="505">
        <f t="shared" si="54"/>
        <v>0</v>
      </c>
      <c r="P146" s="505">
        <f t="shared" si="55"/>
        <v>0</v>
      </c>
      <c r="Q146" s="244"/>
      <c r="R146" s="244"/>
      <c r="S146" s="244"/>
      <c r="T146" s="244"/>
      <c r="U146" s="244"/>
    </row>
    <row r="147" spans="2:21" ht="12.5">
      <c r="B147" s="145" t="str">
        <f t="shared" si="32"/>
        <v/>
      </c>
      <c r="C147" s="496">
        <f>IF(D94="","-",+C146+1)</f>
        <v>2057</v>
      </c>
      <c r="D147" s="350">
        <f>IF(F146+SUM(E$100:E146)=D$93,F146,D$93-SUM(E$100:E146))</f>
        <v>0</v>
      </c>
      <c r="E147" s="510">
        <f>IF(+J97&lt;F146,J97,D147)</f>
        <v>0</v>
      </c>
      <c r="F147" s="511">
        <f t="shared" si="50"/>
        <v>0</v>
      </c>
      <c r="G147" s="511">
        <f t="shared" si="51"/>
        <v>0</v>
      </c>
      <c r="H147" s="645">
        <f t="shared" si="48"/>
        <v>0</v>
      </c>
      <c r="I147" s="573">
        <f t="shared" si="56"/>
        <v>0</v>
      </c>
      <c r="J147" s="505">
        <f t="shared" si="52"/>
        <v>0</v>
      </c>
      <c r="K147" s="505"/>
      <c r="L147" s="513"/>
      <c r="M147" s="505">
        <f t="shared" si="53"/>
        <v>0</v>
      </c>
      <c r="N147" s="513"/>
      <c r="O147" s="505">
        <f t="shared" si="54"/>
        <v>0</v>
      </c>
      <c r="P147" s="505">
        <f t="shared" si="55"/>
        <v>0</v>
      </c>
      <c r="Q147" s="244"/>
      <c r="R147" s="244"/>
      <c r="S147" s="244"/>
      <c r="T147" s="244"/>
      <c r="U147" s="244"/>
    </row>
    <row r="148" spans="2:21" ht="12.5">
      <c r="B148" s="145" t="str">
        <f t="shared" si="32"/>
        <v/>
      </c>
      <c r="C148" s="496">
        <f>IF(D94="","-",+C147+1)</f>
        <v>2058</v>
      </c>
      <c r="D148" s="350">
        <f>IF(F147+SUM(E$100:E147)=D$93,F147,D$93-SUM(E$100:E147))</f>
        <v>0</v>
      </c>
      <c r="E148" s="510">
        <f>IF(+J97&lt;F147,J97,D148)</f>
        <v>0</v>
      </c>
      <c r="F148" s="511">
        <f t="shared" si="50"/>
        <v>0</v>
      </c>
      <c r="G148" s="511">
        <f t="shared" si="51"/>
        <v>0</v>
      </c>
      <c r="H148" s="645">
        <f t="shared" si="48"/>
        <v>0</v>
      </c>
      <c r="I148" s="573">
        <f t="shared" si="56"/>
        <v>0</v>
      </c>
      <c r="J148" s="505">
        <f t="shared" si="52"/>
        <v>0</v>
      </c>
      <c r="K148" s="505"/>
      <c r="L148" s="513"/>
      <c r="M148" s="505">
        <f t="shared" si="53"/>
        <v>0</v>
      </c>
      <c r="N148" s="513"/>
      <c r="O148" s="505">
        <f t="shared" si="54"/>
        <v>0</v>
      </c>
      <c r="P148" s="505">
        <f t="shared" si="55"/>
        <v>0</v>
      </c>
      <c r="Q148" s="244"/>
      <c r="R148" s="244"/>
      <c r="S148" s="244"/>
      <c r="T148" s="244"/>
      <c r="U148" s="244"/>
    </row>
    <row r="149" spans="2:21" ht="12.5">
      <c r="B149" s="145" t="str">
        <f t="shared" si="32"/>
        <v/>
      </c>
      <c r="C149" s="496">
        <f>IF(D94="","-",+C148+1)</f>
        <v>2059</v>
      </c>
      <c r="D149" s="350">
        <f>IF(F148+SUM(E$100:E148)=D$93,F148,D$93-SUM(E$100:E148))</f>
        <v>0</v>
      </c>
      <c r="E149" s="510">
        <f>IF(+J97&lt;F148,J97,D149)</f>
        <v>0</v>
      </c>
      <c r="F149" s="511">
        <f t="shared" si="50"/>
        <v>0</v>
      </c>
      <c r="G149" s="511">
        <f t="shared" si="51"/>
        <v>0</v>
      </c>
      <c r="H149" s="645">
        <f t="shared" si="48"/>
        <v>0</v>
      </c>
      <c r="I149" s="573">
        <f t="shared" si="56"/>
        <v>0</v>
      </c>
      <c r="J149" s="505">
        <f t="shared" si="52"/>
        <v>0</v>
      </c>
      <c r="K149" s="505"/>
      <c r="L149" s="513"/>
      <c r="M149" s="505">
        <f t="shared" si="53"/>
        <v>0</v>
      </c>
      <c r="N149" s="513"/>
      <c r="O149" s="505">
        <f t="shared" si="54"/>
        <v>0</v>
      </c>
      <c r="P149" s="505">
        <f t="shared" si="55"/>
        <v>0</v>
      </c>
      <c r="Q149" s="244"/>
      <c r="R149" s="244"/>
      <c r="S149" s="244"/>
      <c r="T149" s="244"/>
      <c r="U149" s="244"/>
    </row>
    <row r="150" spans="2:21" ht="12.5">
      <c r="B150" s="145" t="str">
        <f t="shared" si="32"/>
        <v/>
      </c>
      <c r="C150" s="496">
        <f>IF(D94="","-",+C149+1)</f>
        <v>2060</v>
      </c>
      <c r="D150" s="350">
        <f>IF(F149+SUM(E$100:E149)=D$93,F149,D$93-SUM(E$100:E149))</f>
        <v>0</v>
      </c>
      <c r="E150" s="510">
        <f>IF(+J97&lt;F149,J97,D150)</f>
        <v>0</v>
      </c>
      <c r="F150" s="511">
        <f t="shared" si="50"/>
        <v>0</v>
      </c>
      <c r="G150" s="511">
        <f t="shared" si="51"/>
        <v>0</v>
      </c>
      <c r="H150" s="645">
        <f t="shared" si="48"/>
        <v>0</v>
      </c>
      <c r="I150" s="573">
        <f t="shared" si="56"/>
        <v>0</v>
      </c>
      <c r="J150" s="505">
        <f t="shared" si="52"/>
        <v>0</v>
      </c>
      <c r="K150" s="505"/>
      <c r="L150" s="513"/>
      <c r="M150" s="505">
        <f t="shared" si="53"/>
        <v>0</v>
      </c>
      <c r="N150" s="513"/>
      <c r="O150" s="505">
        <f t="shared" si="54"/>
        <v>0</v>
      </c>
      <c r="P150" s="505">
        <f t="shared" si="55"/>
        <v>0</v>
      </c>
      <c r="Q150" s="244"/>
      <c r="R150" s="244"/>
      <c r="S150" s="244"/>
      <c r="T150" s="244"/>
      <c r="U150" s="244"/>
    </row>
    <row r="151" spans="2:21" ht="12.5">
      <c r="B151" s="145" t="str">
        <f t="shared" si="32"/>
        <v/>
      </c>
      <c r="C151" s="496">
        <f>IF(D94="","-",+C150+1)</f>
        <v>2061</v>
      </c>
      <c r="D151" s="350">
        <f>IF(F150+SUM(E$100:E150)=D$93,F150,D$93-SUM(E$100:E150))</f>
        <v>0</v>
      </c>
      <c r="E151" s="510">
        <f>IF(+J97&lt;F150,J97,D151)</f>
        <v>0</v>
      </c>
      <c r="F151" s="511">
        <f t="shared" si="50"/>
        <v>0</v>
      </c>
      <c r="G151" s="511">
        <f t="shared" si="51"/>
        <v>0</v>
      </c>
      <c r="H151" s="645">
        <f t="shared" si="48"/>
        <v>0</v>
      </c>
      <c r="I151" s="573">
        <f t="shared" si="56"/>
        <v>0</v>
      </c>
      <c r="J151" s="505">
        <f t="shared" si="52"/>
        <v>0</v>
      </c>
      <c r="K151" s="505"/>
      <c r="L151" s="513"/>
      <c r="M151" s="505">
        <f t="shared" si="53"/>
        <v>0</v>
      </c>
      <c r="N151" s="513"/>
      <c r="O151" s="505">
        <f t="shared" si="54"/>
        <v>0</v>
      </c>
      <c r="P151" s="505">
        <f t="shared" si="55"/>
        <v>0</v>
      </c>
      <c r="Q151" s="244"/>
      <c r="R151" s="244"/>
      <c r="S151" s="244"/>
      <c r="T151" s="244"/>
      <c r="U151" s="244"/>
    </row>
    <row r="152" spans="2:21" ht="12.5">
      <c r="B152" s="145" t="str">
        <f t="shared" si="32"/>
        <v/>
      </c>
      <c r="C152" s="496">
        <f>IF(D94="","-",+C151+1)</f>
        <v>2062</v>
      </c>
      <c r="D152" s="350">
        <f>IF(F151+SUM(E$100:E151)=D$93,F151,D$93-SUM(E$100:E151))</f>
        <v>0</v>
      </c>
      <c r="E152" s="510">
        <f>IF(+J97&lt;F151,J97,D152)</f>
        <v>0</v>
      </c>
      <c r="F152" s="511">
        <f t="shared" si="50"/>
        <v>0</v>
      </c>
      <c r="G152" s="511">
        <f t="shared" si="51"/>
        <v>0</v>
      </c>
      <c r="H152" s="645">
        <f t="shared" si="48"/>
        <v>0</v>
      </c>
      <c r="I152" s="573">
        <f t="shared" si="56"/>
        <v>0</v>
      </c>
      <c r="J152" s="505">
        <f t="shared" si="52"/>
        <v>0</v>
      </c>
      <c r="K152" s="505"/>
      <c r="L152" s="513"/>
      <c r="M152" s="505">
        <f t="shared" si="53"/>
        <v>0</v>
      </c>
      <c r="N152" s="513"/>
      <c r="O152" s="505">
        <f t="shared" si="54"/>
        <v>0</v>
      </c>
      <c r="P152" s="505">
        <f t="shared" si="55"/>
        <v>0</v>
      </c>
      <c r="Q152" s="244"/>
      <c r="R152" s="244"/>
      <c r="S152" s="244"/>
      <c r="T152" s="244"/>
      <c r="U152" s="244"/>
    </row>
    <row r="153" spans="2:21" ht="12.5">
      <c r="B153" s="145" t="str">
        <f t="shared" si="32"/>
        <v/>
      </c>
      <c r="C153" s="496">
        <f>IF(D94="","-",+C152+1)</f>
        <v>2063</v>
      </c>
      <c r="D153" s="350">
        <f>IF(F152+SUM(E$100:E152)=D$93,F152,D$93-SUM(E$100:E152))</f>
        <v>0</v>
      </c>
      <c r="E153" s="510">
        <f>IF(+J97&lt;F152,J97,D153)</f>
        <v>0</v>
      </c>
      <c r="F153" s="511">
        <f t="shared" si="50"/>
        <v>0</v>
      </c>
      <c r="G153" s="511">
        <f t="shared" si="51"/>
        <v>0</v>
      </c>
      <c r="H153" s="645">
        <f t="shared" si="48"/>
        <v>0</v>
      </c>
      <c r="I153" s="573">
        <f t="shared" si="56"/>
        <v>0</v>
      </c>
      <c r="J153" s="505">
        <f t="shared" si="52"/>
        <v>0</v>
      </c>
      <c r="K153" s="505"/>
      <c r="L153" s="513"/>
      <c r="M153" s="505">
        <f t="shared" si="53"/>
        <v>0</v>
      </c>
      <c r="N153" s="513"/>
      <c r="O153" s="505">
        <f t="shared" si="54"/>
        <v>0</v>
      </c>
      <c r="P153" s="505">
        <f t="shared" si="55"/>
        <v>0</v>
      </c>
      <c r="Q153" s="244"/>
      <c r="R153" s="244"/>
      <c r="S153" s="244"/>
      <c r="T153" s="244"/>
      <c r="U153" s="244"/>
    </row>
    <row r="154" spans="2:21" ht="12.5">
      <c r="B154" s="145" t="str">
        <f t="shared" si="32"/>
        <v/>
      </c>
      <c r="C154" s="496">
        <f>IF(D94="","-",+C153+1)</f>
        <v>2064</v>
      </c>
      <c r="D154" s="350">
        <f>IF(F153+SUM(E$100:E153)=D$93,F153,D$93-SUM(E$100:E153))</f>
        <v>0</v>
      </c>
      <c r="E154" s="510">
        <f>IF(+J97&lt;F153,J97,D154)</f>
        <v>0</v>
      </c>
      <c r="F154" s="511">
        <f t="shared" si="50"/>
        <v>0</v>
      </c>
      <c r="G154" s="511">
        <f t="shared" si="51"/>
        <v>0</v>
      </c>
      <c r="H154" s="645">
        <f t="shared" si="48"/>
        <v>0</v>
      </c>
      <c r="I154" s="573">
        <f t="shared" si="56"/>
        <v>0</v>
      </c>
      <c r="J154" s="505">
        <f t="shared" si="52"/>
        <v>0</v>
      </c>
      <c r="K154" s="505"/>
      <c r="L154" s="513"/>
      <c r="M154" s="505">
        <f t="shared" si="53"/>
        <v>0</v>
      </c>
      <c r="N154" s="513"/>
      <c r="O154" s="505">
        <f t="shared" si="54"/>
        <v>0</v>
      </c>
      <c r="P154" s="505">
        <f t="shared" si="55"/>
        <v>0</v>
      </c>
      <c r="Q154" s="244"/>
      <c r="R154" s="244"/>
      <c r="S154" s="244"/>
      <c r="T154" s="244"/>
      <c r="U154" s="244"/>
    </row>
    <row r="155" spans="2:21" ht="13" thickBot="1">
      <c r="B155" s="145" t="str">
        <f t="shared" si="32"/>
        <v/>
      </c>
      <c r="C155" s="525">
        <f>IF(D94="","-",+C154+1)</f>
        <v>2065</v>
      </c>
      <c r="D155" s="528">
        <f>IF(F154+SUM(E$100:E154)=D$93,F154,D$93-SUM(E$100:E154))</f>
        <v>0</v>
      </c>
      <c r="E155" s="527">
        <f>IF(+J97&lt;F154,J97,D155)</f>
        <v>0</v>
      </c>
      <c r="F155" s="528">
        <f t="shared" si="50"/>
        <v>0</v>
      </c>
      <c r="G155" s="528">
        <f t="shared" si="51"/>
        <v>0</v>
      </c>
      <c r="H155" s="529">
        <f t="shared" ref="H155" si="57">+J$95*G155+E155</f>
        <v>0</v>
      </c>
      <c r="I155" s="574">
        <f t="shared" si="56"/>
        <v>0</v>
      </c>
      <c r="J155" s="532">
        <f t="shared" si="52"/>
        <v>0</v>
      </c>
      <c r="K155" s="505"/>
      <c r="L155" s="531"/>
      <c r="M155" s="532">
        <f t="shared" si="53"/>
        <v>0</v>
      </c>
      <c r="N155" s="531"/>
      <c r="O155" s="532">
        <f t="shared" si="54"/>
        <v>0</v>
      </c>
      <c r="P155" s="532">
        <f t="shared" si="55"/>
        <v>0</v>
      </c>
      <c r="Q155" s="244"/>
      <c r="R155" s="244"/>
      <c r="S155" s="244"/>
      <c r="T155" s="244"/>
      <c r="U155" s="244"/>
    </row>
    <row r="156" spans="2:21" ht="12.5">
      <c r="C156" s="350" t="s">
        <v>75</v>
      </c>
      <c r="D156" s="295"/>
      <c r="E156" s="295">
        <f>SUM(E100:E155)</f>
        <v>723818</v>
      </c>
      <c r="F156" s="295"/>
      <c r="G156" s="295"/>
      <c r="H156" s="295">
        <f>SUM(H100:H155)</f>
        <v>1990154.1781313822</v>
      </c>
      <c r="I156" s="295">
        <f>SUM(I100:I155)</f>
        <v>1990154.1781313822</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77" t="s">
        <v>129</v>
      </c>
      <c r="Q163" s="244"/>
      <c r="R163" s="244"/>
      <c r="S163" s="244"/>
      <c r="T163" s="244"/>
      <c r="U163" s="244"/>
    </row>
  </sheetData>
  <phoneticPr fontId="0" type="noConversion"/>
  <conditionalFormatting sqref="C17:C29 C34:C73">
    <cfRule type="cellIs" dxfId="60" priority="2" stopIfTrue="1" operator="equal">
      <formula>$I$10</formula>
    </cfRule>
  </conditionalFormatting>
  <conditionalFormatting sqref="C100:C155">
    <cfRule type="cellIs" dxfId="59" priority="3" stopIfTrue="1" operator="equal">
      <formula>$J$93</formula>
    </cfRule>
  </conditionalFormatting>
  <conditionalFormatting sqref="C30:C33">
    <cfRule type="cellIs" dxfId="58" priority="1" stopIfTrue="1" operator="equal">
      <formula>$I$10</formula>
    </cfRule>
  </conditionalFormatting>
  <pageMargins left="0.5" right="0.25" top="1" bottom="0.25" header="0.25" footer="0.5"/>
  <pageSetup scale="47" fitToHeight="2"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0"/>
  <dimension ref="A1:U163"/>
  <sheetViews>
    <sheetView topLeftCell="A74" zoomScaleNormal="100" zoomScaleSheetLayoutView="85"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2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112848.37260844371</v>
      </c>
      <c r="P5" s="244"/>
      <c r="R5" s="244"/>
      <c r="S5" s="244"/>
      <c r="T5" s="244"/>
      <c r="U5" s="244"/>
    </row>
    <row r="6" spans="1:21" ht="15.5">
      <c r="C6" s="236"/>
      <c r="D6" s="293"/>
      <c r="E6" s="244"/>
      <c r="F6" s="244"/>
      <c r="G6" s="244"/>
      <c r="H6" s="450"/>
      <c r="I6" s="450"/>
      <c r="J6" s="451"/>
      <c r="K6" s="452" t="s">
        <v>243</v>
      </c>
      <c r="L6" s="453"/>
      <c r="M6" s="279"/>
      <c r="N6" s="454">
        <f>VLOOKUP(I10,C17:I73,6)</f>
        <v>112848.37260844371</v>
      </c>
      <c r="O6" s="244"/>
      <c r="P6" s="244"/>
      <c r="R6" s="244"/>
      <c r="S6" s="244"/>
      <c r="T6" s="244"/>
      <c r="U6" s="244"/>
    </row>
    <row r="7" spans="1:21" ht="13.5" thickBot="1">
      <c r="C7" s="455" t="s">
        <v>46</v>
      </c>
      <c r="D7" s="456" t="s">
        <v>192</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197</v>
      </c>
      <c r="E9" s="466"/>
      <c r="F9" s="466"/>
      <c r="G9" s="466"/>
      <c r="H9" s="466"/>
      <c r="I9" s="467"/>
      <c r="J9" s="468"/>
      <c r="O9" s="469"/>
      <c r="P9" s="279"/>
      <c r="R9" s="244"/>
      <c r="S9" s="244"/>
      <c r="T9" s="244"/>
      <c r="U9" s="244"/>
    </row>
    <row r="10" spans="1:21" ht="13">
      <c r="C10" s="470" t="s">
        <v>49</v>
      </c>
      <c r="D10" s="471">
        <v>985777</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2010</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0.11475877389767174</v>
      </c>
      <c r="J12" s="579"/>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29872.030303030304</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IF(D17=F16,"","IU")</f>
        <v>IU</v>
      </c>
      <c r="C17" s="581">
        <f>IF(D11= "","-",D11)</f>
        <v>2010</v>
      </c>
      <c r="D17" s="497">
        <v>1000000</v>
      </c>
      <c r="E17" s="498">
        <v>8649.6050543178571</v>
      </c>
      <c r="F17" s="497">
        <v>991350.39494568214</v>
      </c>
      <c r="G17" s="499">
        <v>128416.51741983544</v>
      </c>
      <c r="H17" s="500">
        <v>128416.51741983544</v>
      </c>
      <c r="I17" s="501">
        <f t="shared" ref="I17:I49" si="0">H17-G17</f>
        <v>0</v>
      </c>
      <c r="J17" s="501"/>
      <c r="K17" s="502">
        <f t="shared" ref="K17:K22" si="1">G17</f>
        <v>128416.51741983544</v>
      </c>
      <c r="L17" s="503">
        <f t="shared" ref="L17:L49" si="2">IF(K17&lt;&gt;0,+G17-K17,0)</f>
        <v>0</v>
      </c>
      <c r="M17" s="502">
        <f t="shared" ref="M17:M22" si="3">H17</f>
        <v>128416.51741983544</v>
      </c>
      <c r="N17" s="504">
        <f t="shared" ref="N17:N49" si="4">IF(M17&lt;&gt;0,+H17-M17,0)</f>
        <v>0</v>
      </c>
      <c r="O17" s="505">
        <f t="shared" ref="O17:O49" si="5">+N17-L17</f>
        <v>0</v>
      </c>
      <c r="P17" s="279"/>
      <c r="R17" s="244"/>
      <c r="S17" s="244"/>
      <c r="T17" s="244"/>
      <c r="U17" s="244"/>
    </row>
    <row r="18" spans="2:21" ht="12.5">
      <c r="B18" s="145" t="str">
        <f>IF(D18=F17,"","IU")</f>
        <v/>
      </c>
      <c r="C18" s="496">
        <f>IF(D11="","-",+C17+1)</f>
        <v>2011</v>
      </c>
      <c r="D18" s="506">
        <v>991350.39494568214</v>
      </c>
      <c r="E18" s="499">
        <v>16985.402437265064</v>
      </c>
      <c r="F18" s="506">
        <v>974364.99250841711</v>
      </c>
      <c r="G18" s="499">
        <v>143658.66281023776</v>
      </c>
      <c r="H18" s="500">
        <v>143658.66281023776</v>
      </c>
      <c r="I18" s="501">
        <f t="shared" si="0"/>
        <v>0</v>
      </c>
      <c r="J18" s="501"/>
      <c r="K18" s="507">
        <f t="shared" si="1"/>
        <v>143658.66281023776</v>
      </c>
      <c r="L18" s="508">
        <f t="shared" si="2"/>
        <v>0</v>
      </c>
      <c r="M18" s="507">
        <f t="shared" si="3"/>
        <v>143658.66281023776</v>
      </c>
      <c r="N18" s="505">
        <f t="shared" si="4"/>
        <v>0</v>
      </c>
      <c r="O18" s="505">
        <f t="shared" si="5"/>
        <v>0</v>
      </c>
      <c r="P18" s="279"/>
      <c r="R18" s="244"/>
      <c r="S18" s="244"/>
      <c r="T18" s="244"/>
      <c r="U18" s="244"/>
    </row>
    <row r="19" spans="2:21" ht="12.5">
      <c r="B19" s="145" t="str">
        <f t="shared" ref="B19:B73" si="6">IF(D19=F18,"","IU")</f>
        <v/>
      </c>
      <c r="C19" s="496">
        <f>IF(D11="","-",+C18+1)</f>
        <v>2012</v>
      </c>
      <c r="D19" s="506">
        <v>974364.99250841711</v>
      </c>
      <c r="E19" s="499">
        <v>17053.169324992024</v>
      </c>
      <c r="F19" s="506">
        <v>957311.82318342512</v>
      </c>
      <c r="G19" s="499">
        <v>109574.51640694846</v>
      </c>
      <c r="H19" s="500">
        <v>109574.51640694846</v>
      </c>
      <c r="I19" s="501">
        <v>0</v>
      </c>
      <c r="J19" s="501"/>
      <c r="K19" s="507">
        <f t="shared" si="1"/>
        <v>109574.51640694846</v>
      </c>
      <c r="L19" s="505">
        <f t="shared" si="2"/>
        <v>0</v>
      </c>
      <c r="M19" s="507">
        <f t="shared" si="3"/>
        <v>109574.51640694846</v>
      </c>
      <c r="N19" s="505">
        <f t="shared" si="4"/>
        <v>0</v>
      </c>
      <c r="O19" s="505">
        <f t="shared" si="5"/>
        <v>0</v>
      </c>
      <c r="P19" s="279"/>
      <c r="R19" s="244"/>
      <c r="S19" s="244"/>
      <c r="T19" s="244"/>
      <c r="U19" s="244"/>
    </row>
    <row r="20" spans="2:21" ht="12.5">
      <c r="B20" s="145" t="str">
        <f t="shared" si="6"/>
        <v>IU</v>
      </c>
      <c r="C20" s="496">
        <f>IF(D11="","-",+C19+1)</f>
        <v>2013</v>
      </c>
      <c r="D20" s="506">
        <v>943089.16318342497</v>
      </c>
      <c r="E20" s="499">
        <v>17053.169324992024</v>
      </c>
      <c r="F20" s="506">
        <v>926035.99385843298</v>
      </c>
      <c r="G20" s="499">
        <v>118214.46332464613</v>
      </c>
      <c r="H20" s="500">
        <v>118214.46332464613</v>
      </c>
      <c r="I20" s="501">
        <v>0</v>
      </c>
      <c r="J20" s="501"/>
      <c r="K20" s="507">
        <f t="shared" si="1"/>
        <v>118214.46332464613</v>
      </c>
      <c r="L20" s="505">
        <f t="shared" ref="L20:L25" si="7">IF(K20&lt;&gt;0,+G20-K20,0)</f>
        <v>0</v>
      </c>
      <c r="M20" s="507">
        <f t="shared" si="3"/>
        <v>118214.46332464613</v>
      </c>
      <c r="N20" s="505">
        <f>IF(M20&lt;&gt;0,+H20-M20,0)</f>
        <v>0</v>
      </c>
      <c r="O20" s="505">
        <f>+N20-L20</f>
        <v>0</v>
      </c>
      <c r="P20" s="279"/>
      <c r="R20" s="244"/>
      <c r="S20" s="244"/>
      <c r="T20" s="244"/>
      <c r="U20" s="244"/>
    </row>
    <row r="21" spans="2:21" ht="12.5">
      <c r="B21" s="145" t="str">
        <f t="shared" si="6"/>
        <v/>
      </c>
      <c r="C21" s="496">
        <f>IF(D12="","-",+C20+1)</f>
        <v>2014</v>
      </c>
      <c r="D21" s="506">
        <v>926035.99385843298</v>
      </c>
      <c r="E21" s="499">
        <v>17053.169324992024</v>
      </c>
      <c r="F21" s="506">
        <v>908982.82453344099</v>
      </c>
      <c r="G21" s="499">
        <v>117066.12014630614</v>
      </c>
      <c r="H21" s="500">
        <v>117066.12014630614</v>
      </c>
      <c r="I21" s="501">
        <v>0</v>
      </c>
      <c r="J21" s="501"/>
      <c r="K21" s="507">
        <f t="shared" si="1"/>
        <v>117066.12014630614</v>
      </c>
      <c r="L21" s="505">
        <f t="shared" si="7"/>
        <v>0</v>
      </c>
      <c r="M21" s="507">
        <f t="shared" si="3"/>
        <v>117066.12014630614</v>
      </c>
      <c r="N21" s="505">
        <f>IF(M21&lt;&gt;0,+H21-M21,0)</f>
        <v>0</v>
      </c>
      <c r="O21" s="505">
        <f>+N21-L21</f>
        <v>0</v>
      </c>
      <c r="P21" s="279"/>
      <c r="R21" s="244"/>
      <c r="S21" s="244"/>
      <c r="T21" s="244"/>
      <c r="U21" s="244"/>
    </row>
    <row r="22" spans="2:21" ht="12.5">
      <c r="B22" s="145" t="str">
        <f t="shared" si="6"/>
        <v/>
      </c>
      <c r="C22" s="496">
        <f>IF(D11="","-",+C21+1)</f>
        <v>2015</v>
      </c>
      <c r="D22" s="506">
        <v>908982.82453344099</v>
      </c>
      <c r="E22" s="499">
        <v>17053.169324992024</v>
      </c>
      <c r="F22" s="506">
        <v>891929.655208449</v>
      </c>
      <c r="G22" s="499">
        <v>108980.29004264352</v>
      </c>
      <c r="H22" s="500">
        <v>108980.29004264352</v>
      </c>
      <c r="I22" s="501">
        <v>0</v>
      </c>
      <c r="J22" s="501"/>
      <c r="K22" s="507">
        <f t="shared" si="1"/>
        <v>108980.29004264352</v>
      </c>
      <c r="L22" s="505">
        <f t="shared" si="7"/>
        <v>0</v>
      </c>
      <c r="M22" s="507">
        <f t="shared" si="3"/>
        <v>108980.29004264352</v>
      </c>
      <c r="N22" s="505">
        <f>IF(M22&lt;&gt;0,+H22-M22,0)</f>
        <v>0</v>
      </c>
      <c r="O22" s="505">
        <f>+N22-L22</f>
        <v>0</v>
      </c>
      <c r="P22" s="279"/>
      <c r="R22" s="244"/>
      <c r="S22" s="244"/>
      <c r="T22" s="244"/>
      <c r="U22" s="244"/>
    </row>
    <row r="23" spans="2:21" ht="12.5">
      <c r="B23" s="145" t="str">
        <f t="shared" si="6"/>
        <v/>
      </c>
      <c r="C23" s="496">
        <f>IF(D11="","-",+C22+1)</f>
        <v>2016</v>
      </c>
      <c r="D23" s="506">
        <v>891929.655208449</v>
      </c>
      <c r="E23" s="499">
        <v>20483.915040786436</v>
      </c>
      <c r="F23" s="506">
        <v>871445.7401676625</v>
      </c>
      <c r="G23" s="499">
        <v>114495.80398935861</v>
      </c>
      <c r="H23" s="500">
        <v>114495.80398935861</v>
      </c>
      <c r="I23" s="501">
        <f t="shared" si="0"/>
        <v>0</v>
      </c>
      <c r="J23" s="501"/>
      <c r="K23" s="507">
        <f t="shared" ref="K23:K28" si="8">G23</f>
        <v>114495.80398935861</v>
      </c>
      <c r="L23" s="505">
        <f t="shared" si="7"/>
        <v>0</v>
      </c>
      <c r="M23" s="507">
        <f t="shared" ref="M23:M28" si="9">H23</f>
        <v>114495.80398935861</v>
      </c>
      <c r="N23" s="505">
        <f t="shared" si="4"/>
        <v>0</v>
      </c>
      <c r="O23" s="505">
        <f t="shared" si="5"/>
        <v>0</v>
      </c>
      <c r="P23" s="279"/>
      <c r="R23" s="244"/>
      <c r="S23" s="244"/>
      <c r="T23" s="244"/>
      <c r="U23" s="244"/>
    </row>
    <row r="24" spans="2:21" ht="12.5">
      <c r="B24" s="145" t="str">
        <f t="shared" si="6"/>
        <v/>
      </c>
      <c r="C24" s="496">
        <f>IF(D11="","-",+C23+1)</f>
        <v>2017</v>
      </c>
      <c r="D24" s="506">
        <v>871445.7401676625</v>
      </c>
      <c r="E24" s="499">
        <v>19382.334130313378</v>
      </c>
      <c r="F24" s="506">
        <v>852063.40603734914</v>
      </c>
      <c r="G24" s="499">
        <v>114123.60807449113</v>
      </c>
      <c r="H24" s="500">
        <v>114123.60807449113</v>
      </c>
      <c r="I24" s="501">
        <f t="shared" si="0"/>
        <v>0</v>
      </c>
      <c r="J24" s="501"/>
      <c r="K24" s="507">
        <f t="shared" si="8"/>
        <v>114123.60807449113</v>
      </c>
      <c r="L24" s="505">
        <f t="shared" si="7"/>
        <v>0</v>
      </c>
      <c r="M24" s="507">
        <f t="shared" si="9"/>
        <v>114123.60807449113</v>
      </c>
      <c r="N24" s="505">
        <f>IF(M24&lt;&gt;0,+H24-M24,0)</f>
        <v>0</v>
      </c>
      <c r="O24" s="505">
        <f>+N24-L24</f>
        <v>0</v>
      </c>
      <c r="P24" s="279"/>
      <c r="R24" s="244"/>
      <c r="S24" s="244"/>
      <c r="T24" s="244"/>
      <c r="U24" s="244"/>
    </row>
    <row r="25" spans="2:21" ht="12.5">
      <c r="B25" s="145" t="str">
        <f t="shared" si="6"/>
        <v/>
      </c>
      <c r="C25" s="496">
        <f>IF(D11="","-",+C24+1)</f>
        <v>2018</v>
      </c>
      <c r="D25" s="506">
        <v>852063.40603734914</v>
      </c>
      <c r="E25" s="499">
        <v>24175.777145778226</v>
      </c>
      <c r="F25" s="506">
        <v>827887.62889157096</v>
      </c>
      <c r="G25" s="499">
        <v>109537.1548251974</v>
      </c>
      <c r="H25" s="500">
        <v>109537.1548251974</v>
      </c>
      <c r="I25" s="501">
        <f t="shared" si="0"/>
        <v>0</v>
      </c>
      <c r="J25" s="501"/>
      <c r="K25" s="507">
        <f t="shared" si="8"/>
        <v>109537.1548251974</v>
      </c>
      <c r="L25" s="505">
        <f t="shared" si="7"/>
        <v>0</v>
      </c>
      <c r="M25" s="507">
        <f t="shared" si="9"/>
        <v>109537.1548251974</v>
      </c>
      <c r="N25" s="505">
        <f>IF(M25&lt;&gt;0,+H25-M25,0)</f>
        <v>0</v>
      </c>
      <c r="O25" s="505">
        <f>+N25-L25</f>
        <v>0</v>
      </c>
      <c r="P25" s="279"/>
      <c r="R25" s="244"/>
      <c r="S25" s="244"/>
      <c r="T25" s="244"/>
      <c r="U25" s="244"/>
    </row>
    <row r="26" spans="2:21" ht="12.5">
      <c r="B26" s="145" t="str">
        <f t="shared" si="6"/>
        <v/>
      </c>
      <c r="C26" s="496">
        <f>IF(D11="","-",+C25+1)</f>
        <v>2019</v>
      </c>
      <c r="D26" s="506">
        <v>827887.62889157096</v>
      </c>
      <c r="E26" s="499">
        <v>29237.019226400858</v>
      </c>
      <c r="F26" s="506">
        <v>798650.60966517008</v>
      </c>
      <c r="G26" s="499">
        <v>113764.92954880837</v>
      </c>
      <c r="H26" s="500">
        <v>113764.92954880837</v>
      </c>
      <c r="I26" s="501">
        <f t="shared" si="0"/>
        <v>0</v>
      </c>
      <c r="J26" s="501"/>
      <c r="K26" s="507">
        <f t="shared" si="8"/>
        <v>113764.92954880837</v>
      </c>
      <c r="L26" s="505">
        <f t="shared" ref="L26" si="10">IF(K26&lt;&gt;0,+G26-K26,0)</f>
        <v>0</v>
      </c>
      <c r="M26" s="507">
        <f t="shared" si="9"/>
        <v>113764.92954880837</v>
      </c>
      <c r="N26" s="505">
        <f>IF(M26&lt;&gt;0,+H26-M26,0)</f>
        <v>0</v>
      </c>
      <c r="O26" s="505">
        <f>+N26-L26</f>
        <v>0</v>
      </c>
      <c r="P26" s="279"/>
      <c r="R26" s="244"/>
      <c r="S26" s="244"/>
      <c r="T26" s="244"/>
      <c r="U26" s="244"/>
    </row>
    <row r="27" spans="2:21" ht="12.5">
      <c r="B27" s="145" t="str">
        <f t="shared" si="6"/>
        <v>IU</v>
      </c>
      <c r="C27" s="496">
        <f>IF(D11="","-",+C26+1)</f>
        <v>2020</v>
      </c>
      <c r="D27" s="506">
        <v>803711.85174579278</v>
      </c>
      <c r="E27" s="499">
        <v>28865.315662076879</v>
      </c>
      <c r="F27" s="506">
        <v>774846.53608371585</v>
      </c>
      <c r="G27" s="499">
        <v>111686.32809259798</v>
      </c>
      <c r="H27" s="500">
        <v>111686.32809259798</v>
      </c>
      <c r="I27" s="501">
        <f t="shared" si="0"/>
        <v>0</v>
      </c>
      <c r="J27" s="501"/>
      <c r="K27" s="507">
        <f t="shared" si="8"/>
        <v>111686.32809259798</v>
      </c>
      <c r="L27" s="505">
        <f t="shared" ref="L27" si="11">IF(K27&lt;&gt;0,+G27-K27,0)</f>
        <v>0</v>
      </c>
      <c r="M27" s="507">
        <f t="shared" si="9"/>
        <v>111686.32809259798</v>
      </c>
      <c r="N27" s="505">
        <f t="shared" si="4"/>
        <v>0</v>
      </c>
      <c r="O27" s="505">
        <f t="shared" si="5"/>
        <v>0</v>
      </c>
      <c r="P27" s="279"/>
      <c r="R27" s="244"/>
      <c r="S27" s="244"/>
      <c r="T27" s="244"/>
      <c r="U27" s="244"/>
    </row>
    <row r="28" spans="2:21" ht="12.5">
      <c r="B28" s="145" t="str">
        <f t="shared" si="6"/>
        <v>IU</v>
      </c>
      <c r="C28" s="496">
        <f>IF(D11="","-",+C27+1)</f>
        <v>2021</v>
      </c>
      <c r="D28" s="506">
        <v>769785.29400309315</v>
      </c>
      <c r="E28" s="499">
        <v>31799.269032258064</v>
      </c>
      <c r="F28" s="506">
        <v>737986.02497083507</v>
      </c>
      <c r="G28" s="499">
        <v>113358.4397541738</v>
      </c>
      <c r="H28" s="500">
        <v>113358.4397541738</v>
      </c>
      <c r="I28" s="501">
        <f t="shared" si="0"/>
        <v>0</v>
      </c>
      <c r="J28" s="501"/>
      <c r="K28" s="507">
        <f t="shared" si="8"/>
        <v>113358.4397541738</v>
      </c>
      <c r="L28" s="505">
        <f t="shared" ref="L28" si="12">IF(K28&lt;&gt;0,+G28-K28,0)</f>
        <v>0</v>
      </c>
      <c r="M28" s="507">
        <f t="shared" si="9"/>
        <v>113358.4397541738</v>
      </c>
      <c r="N28" s="505">
        <f t="shared" si="4"/>
        <v>0</v>
      </c>
      <c r="O28" s="505">
        <f t="shared" si="5"/>
        <v>0</v>
      </c>
      <c r="P28" s="279"/>
      <c r="R28" s="244"/>
      <c r="S28" s="244"/>
      <c r="T28" s="244"/>
      <c r="U28" s="244"/>
    </row>
    <row r="29" spans="2:21" ht="12.5">
      <c r="B29" s="145" t="str">
        <f t="shared" si="6"/>
        <v/>
      </c>
      <c r="C29" s="496">
        <f>IF(D11="","-",+C28+1)</f>
        <v>2022</v>
      </c>
      <c r="D29" s="506">
        <v>737986.02497083507</v>
      </c>
      <c r="E29" s="499">
        <v>29872.040606060604</v>
      </c>
      <c r="F29" s="506">
        <v>708113.98436477443</v>
      </c>
      <c r="G29" s="499">
        <v>112848.37260844371</v>
      </c>
      <c r="H29" s="500">
        <v>112848.37260844371</v>
      </c>
      <c r="I29" s="501">
        <f t="shared" si="0"/>
        <v>0</v>
      </c>
      <c r="J29" s="501"/>
      <c r="K29" s="507">
        <f t="shared" ref="K29" si="13">G29</f>
        <v>112848.37260844371</v>
      </c>
      <c r="L29" s="505">
        <f t="shared" ref="L29" si="14">IF(K29&lt;&gt;0,+G29-K29,0)</f>
        <v>0</v>
      </c>
      <c r="M29" s="507">
        <f t="shared" ref="M29" si="15">H29</f>
        <v>112848.37260844371</v>
      </c>
      <c r="N29" s="505">
        <f t="shared" si="4"/>
        <v>0</v>
      </c>
      <c r="O29" s="505">
        <f t="shared" si="5"/>
        <v>0</v>
      </c>
      <c r="P29" s="279"/>
      <c r="R29" s="244"/>
      <c r="S29" s="244"/>
      <c r="T29" s="244"/>
      <c r="U29" s="244"/>
    </row>
    <row r="30" spans="2:21" ht="12.5">
      <c r="B30" s="145" t="str">
        <f t="shared" si="6"/>
        <v>IU</v>
      </c>
      <c r="C30" s="496">
        <f>IF(D11="","-",+C29+1)</f>
        <v>2023</v>
      </c>
      <c r="D30" s="506">
        <v>708113.64436477446</v>
      </c>
      <c r="E30" s="499">
        <v>31799.258064516129</v>
      </c>
      <c r="F30" s="506">
        <v>676314.38630025834</v>
      </c>
      <c r="G30" s="499">
        <v>110042.1845135639</v>
      </c>
      <c r="H30" s="500">
        <v>110042.1845135639</v>
      </c>
      <c r="I30" s="501">
        <f t="shared" si="0"/>
        <v>0</v>
      </c>
      <c r="J30" s="501"/>
      <c r="K30" s="507">
        <f t="shared" ref="K30" si="16">G30</f>
        <v>110042.1845135639</v>
      </c>
      <c r="L30" s="505">
        <f t="shared" ref="L30" si="17">IF(K30&lt;&gt;0,+G30-K30,0)</f>
        <v>0</v>
      </c>
      <c r="M30" s="507">
        <f t="shared" ref="M30" si="18">H30</f>
        <v>110042.1845135639</v>
      </c>
      <c r="N30" s="505">
        <f t="shared" si="4"/>
        <v>0</v>
      </c>
      <c r="O30" s="505">
        <f t="shared" si="5"/>
        <v>0</v>
      </c>
      <c r="P30" s="279"/>
      <c r="R30" s="244"/>
      <c r="S30" s="244"/>
      <c r="T30" s="244"/>
      <c r="U30" s="244"/>
    </row>
    <row r="31" spans="2:21" ht="12.5">
      <c r="B31" s="145" t="str">
        <f t="shared" si="6"/>
        <v/>
      </c>
      <c r="C31" s="496">
        <f>IF(D11="","-",+C30+1)</f>
        <v>2024</v>
      </c>
      <c r="D31" s="509">
        <f>IF(F30+SUM(E$17:E30)=D$10,F30,D$10-SUM(E$17:E30))</f>
        <v>676314.38630025834</v>
      </c>
      <c r="E31" s="510">
        <f>IF(+I14&lt;F30,I14,D31)</f>
        <v>29872.030303030304</v>
      </c>
      <c r="F31" s="511">
        <f t="shared" ref="F31:F49" si="19">+D31-E31</f>
        <v>646442.35599722806</v>
      </c>
      <c r="G31" s="512">
        <f t="shared" ref="G31:G73" si="20">(D31+F31)/2*I$12+E31</f>
        <v>105771.00125849934</v>
      </c>
      <c r="H31" s="478">
        <f t="shared" ref="H31:H73" si="21">+(D31+F31)/2*I$13+E31</f>
        <v>105771.00125849934</v>
      </c>
      <c r="I31" s="501">
        <f t="shared" si="0"/>
        <v>0</v>
      </c>
      <c r="J31" s="501"/>
      <c r="K31" s="513"/>
      <c r="L31" s="505">
        <f t="shared" si="2"/>
        <v>0</v>
      </c>
      <c r="M31" s="513"/>
      <c r="N31" s="505">
        <f t="shared" si="4"/>
        <v>0</v>
      </c>
      <c r="O31" s="505">
        <f t="shared" si="5"/>
        <v>0</v>
      </c>
      <c r="P31" s="279"/>
      <c r="Q31" s="221"/>
      <c r="R31" s="279"/>
      <c r="S31" s="279"/>
      <c r="T31" s="279"/>
      <c r="U31" s="244"/>
    </row>
    <row r="32" spans="2:21" ht="12.5">
      <c r="B32" s="145" t="str">
        <f t="shared" si="6"/>
        <v/>
      </c>
      <c r="C32" s="496">
        <f>IF(D12="","-",+C31+1)</f>
        <v>2025</v>
      </c>
      <c r="D32" s="509">
        <f>IF(F31+SUM(E$17:E31)=D$10,F31,D$10-SUM(E$17:E31))</f>
        <v>646442.35599722806</v>
      </c>
      <c r="E32" s="510">
        <f>IF(+I14&lt;F31,I14,D32)</f>
        <v>29872.030303030304</v>
      </c>
      <c r="F32" s="511">
        <f>+D32-E32</f>
        <v>616570.32569419779</v>
      </c>
      <c r="G32" s="512">
        <f t="shared" si="20"/>
        <v>102342.9236870895</v>
      </c>
      <c r="H32" s="478">
        <f t="shared" si="21"/>
        <v>102342.9236870895</v>
      </c>
      <c r="I32" s="501">
        <f>H32-G32</f>
        <v>0</v>
      </c>
      <c r="J32" s="501"/>
      <c r="K32" s="513"/>
      <c r="L32" s="505"/>
      <c r="M32" s="513"/>
      <c r="N32" s="505"/>
      <c r="O32" s="505"/>
      <c r="P32" s="279"/>
      <c r="Q32" s="221"/>
      <c r="R32" s="279"/>
      <c r="S32" s="279"/>
      <c r="T32" s="279"/>
      <c r="U32" s="244"/>
    </row>
    <row r="33" spans="2:21" ht="12.5">
      <c r="B33" s="145" t="str">
        <f t="shared" si="6"/>
        <v/>
      </c>
      <c r="C33" s="496">
        <f>IF(D13="","-",+C32+1)</f>
        <v>2026</v>
      </c>
      <c r="D33" s="509">
        <f>IF(F32+SUM(E$17:E32)=D$10,F32,D$10-SUM(E$17:E32))</f>
        <v>616570.32569419779</v>
      </c>
      <c r="E33" s="510">
        <f>IF(+I14&lt;F31,I14,D33)</f>
        <v>29872.030303030304</v>
      </c>
      <c r="F33" s="511">
        <f t="shared" si="19"/>
        <v>586698.29539116751</v>
      </c>
      <c r="G33" s="512">
        <f t="shared" si="20"/>
        <v>98914.84611567964</v>
      </c>
      <c r="H33" s="478">
        <f t="shared" si="21"/>
        <v>98914.84611567964</v>
      </c>
      <c r="I33" s="501">
        <f t="shared" si="0"/>
        <v>0</v>
      </c>
      <c r="J33" s="501"/>
      <c r="K33" s="513"/>
      <c r="L33" s="505">
        <f t="shared" si="2"/>
        <v>0</v>
      </c>
      <c r="M33" s="513"/>
      <c r="N33" s="505">
        <f t="shared" si="4"/>
        <v>0</v>
      </c>
      <c r="O33" s="505">
        <f t="shared" si="5"/>
        <v>0</v>
      </c>
      <c r="P33" s="279"/>
      <c r="R33" s="244"/>
      <c r="S33" s="244"/>
      <c r="T33" s="244"/>
      <c r="U33" s="244"/>
    </row>
    <row r="34" spans="2:21" ht="12.5">
      <c r="B34" s="145" t="str">
        <f t="shared" si="6"/>
        <v/>
      </c>
      <c r="C34" s="514">
        <f>IF(D11="","-",+C33+1)</f>
        <v>2027</v>
      </c>
      <c r="D34" s="582">
        <f>IF(F33+SUM(E$17:E33)=D$10,F33,D$10-SUM(E$17:E33))</f>
        <v>586698.29539116751</v>
      </c>
      <c r="E34" s="516">
        <f>IF(+I14&lt;F33,I14,D34)</f>
        <v>29872.030303030304</v>
      </c>
      <c r="F34" s="517">
        <f t="shared" si="19"/>
        <v>556826.26508813724</v>
      </c>
      <c r="G34" s="518">
        <f t="shared" si="20"/>
        <v>95486.768544269798</v>
      </c>
      <c r="H34" s="519">
        <f t="shared" si="21"/>
        <v>95486.768544269798</v>
      </c>
      <c r="I34" s="520">
        <f t="shared" si="0"/>
        <v>0</v>
      </c>
      <c r="J34" s="520"/>
      <c r="K34" s="521"/>
      <c r="L34" s="522">
        <f t="shared" si="2"/>
        <v>0</v>
      </c>
      <c r="M34" s="521"/>
      <c r="N34" s="522">
        <f t="shared" si="4"/>
        <v>0</v>
      </c>
      <c r="O34" s="522">
        <f t="shared" si="5"/>
        <v>0</v>
      </c>
      <c r="P34" s="523"/>
      <c r="Q34" s="217"/>
      <c r="R34" s="523"/>
      <c r="S34" s="523"/>
      <c r="T34" s="523"/>
      <c r="U34" s="244"/>
    </row>
    <row r="35" spans="2:21" ht="12.5">
      <c r="B35" s="145" t="str">
        <f t="shared" si="6"/>
        <v/>
      </c>
      <c r="C35" s="496">
        <f>IF(D11="","-",+C34+1)</f>
        <v>2028</v>
      </c>
      <c r="D35" s="509">
        <f>IF(F34+SUM(E$17:E34)=D$10,F34,D$10-SUM(E$17:E34))</f>
        <v>556826.26508813724</v>
      </c>
      <c r="E35" s="510">
        <f>IF(+I14&lt;F34,I14,D35)</f>
        <v>29872.030303030304</v>
      </c>
      <c r="F35" s="511">
        <f t="shared" si="19"/>
        <v>526954.23478510696</v>
      </c>
      <c r="G35" s="512">
        <f t="shared" si="20"/>
        <v>92058.690972859942</v>
      </c>
      <c r="H35" s="478">
        <f t="shared" si="21"/>
        <v>92058.690972859942</v>
      </c>
      <c r="I35" s="501">
        <f t="shared" si="0"/>
        <v>0</v>
      </c>
      <c r="J35" s="501"/>
      <c r="K35" s="513"/>
      <c r="L35" s="505">
        <f t="shared" si="2"/>
        <v>0</v>
      </c>
      <c r="M35" s="513"/>
      <c r="N35" s="505">
        <f t="shared" si="4"/>
        <v>0</v>
      </c>
      <c r="O35" s="505">
        <f t="shared" si="5"/>
        <v>0</v>
      </c>
      <c r="P35" s="279"/>
      <c r="R35" s="244"/>
      <c r="S35" s="244"/>
      <c r="T35" s="244"/>
      <c r="U35" s="244"/>
    </row>
    <row r="36" spans="2:21" ht="12.5">
      <c r="B36" s="145" t="str">
        <f t="shared" si="6"/>
        <v/>
      </c>
      <c r="C36" s="496">
        <f>IF(D11="","-",+C35+1)</f>
        <v>2029</v>
      </c>
      <c r="D36" s="509">
        <f>IF(F35+SUM(E$17:E35)=D$10,F35,D$10-SUM(E$17:E35))</f>
        <v>526954.23478510696</v>
      </c>
      <c r="E36" s="510">
        <f>IF(+I14&lt;F35,I14,D36)</f>
        <v>29872.030303030304</v>
      </c>
      <c r="F36" s="511">
        <f t="shared" si="19"/>
        <v>497082.20448207669</v>
      </c>
      <c r="G36" s="512">
        <f t="shared" si="20"/>
        <v>88630.6134014501</v>
      </c>
      <c r="H36" s="478">
        <f t="shared" si="21"/>
        <v>88630.6134014501</v>
      </c>
      <c r="I36" s="501">
        <f t="shared" si="0"/>
        <v>0</v>
      </c>
      <c r="J36" s="501"/>
      <c r="K36" s="513"/>
      <c r="L36" s="505">
        <f t="shared" si="2"/>
        <v>0</v>
      </c>
      <c r="M36" s="513"/>
      <c r="N36" s="505">
        <f t="shared" si="4"/>
        <v>0</v>
      </c>
      <c r="O36" s="505">
        <f t="shared" si="5"/>
        <v>0</v>
      </c>
      <c r="P36" s="279"/>
      <c r="R36" s="244"/>
      <c r="S36" s="244"/>
      <c r="T36" s="244"/>
      <c r="U36" s="244"/>
    </row>
    <row r="37" spans="2:21" ht="12.5">
      <c r="B37" s="145" t="str">
        <f t="shared" si="6"/>
        <v/>
      </c>
      <c r="C37" s="496">
        <f>IF(D11="","-",+C36+1)</f>
        <v>2030</v>
      </c>
      <c r="D37" s="509">
        <f>IF(F36+SUM(E$17:E36)=D$10,F36,D$10-SUM(E$17:E36))</f>
        <v>497082.20448207669</v>
      </c>
      <c r="E37" s="510">
        <f>IF(+I14&lt;F36,I14,D37)</f>
        <v>29872.030303030304</v>
      </c>
      <c r="F37" s="511">
        <f t="shared" si="19"/>
        <v>467210.17417904641</v>
      </c>
      <c r="G37" s="512">
        <f t="shared" si="20"/>
        <v>85202.535830040244</v>
      </c>
      <c r="H37" s="478">
        <f t="shared" si="21"/>
        <v>85202.535830040244</v>
      </c>
      <c r="I37" s="501">
        <f t="shared" si="0"/>
        <v>0</v>
      </c>
      <c r="J37" s="501"/>
      <c r="K37" s="513"/>
      <c r="L37" s="505">
        <f t="shared" si="2"/>
        <v>0</v>
      </c>
      <c r="M37" s="513"/>
      <c r="N37" s="505">
        <f t="shared" si="4"/>
        <v>0</v>
      </c>
      <c r="O37" s="505">
        <f t="shared" si="5"/>
        <v>0</v>
      </c>
      <c r="P37" s="279"/>
      <c r="R37" s="244"/>
      <c r="S37" s="244"/>
      <c r="T37" s="244"/>
      <c r="U37" s="244"/>
    </row>
    <row r="38" spans="2:21" ht="12.5">
      <c r="B38" s="145" t="str">
        <f t="shared" si="6"/>
        <v/>
      </c>
      <c r="C38" s="496">
        <f>IF(D11="","-",+C37+1)</f>
        <v>2031</v>
      </c>
      <c r="D38" s="509">
        <f>IF(F37+SUM(E$17:E37)=D$10,F37,D$10-SUM(E$17:E37))</f>
        <v>467210.17417904641</v>
      </c>
      <c r="E38" s="510">
        <f>IF(+I14&lt;F37,I14,D38)</f>
        <v>29872.030303030304</v>
      </c>
      <c r="F38" s="511">
        <f t="shared" si="19"/>
        <v>437338.14387601614</v>
      </c>
      <c r="G38" s="512">
        <f t="shared" si="20"/>
        <v>81774.458258630388</v>
      </c>
      <c r="H38" s="478">
        <f t="shared" si="21"/>
        <v>81774.458258630388</v>
      </c>
      <c r="I38" s="501">
        <f t="shared" si="0"/>
        <v>0</v>
      </c>
      <c r="J38" s="501"/>
      <c r="K38" s="513"/>
      <c r="L38" s="505">
        <f t="shared" si="2"/>
        <v>0</v>
      </c>
      <c r="M38" s="513"/>
      <c r="N38" s="505">
        <f t="shared" si="4"/>
        <v>0</v>
      </c>
      <c r="O38" s="505">
        <f t="shared" si="5"/>
        <v>0</v>
      </c>
      <c r="P38" s="279"/>
      <c r="R38" s="244"/>
      <c r="S38" s="244"/>
      <c r="T38" s="244"/>
      <c r="U38" s="244"/>
    </row>
    <row r="39" spans="2:21" ht="12.5">
      <c r="B39" s="145" t="str">
        <f t="shared" si="6"/>
        <v/>
      </c>
      <c r="C39" s="496">
        <f>IF(D11="","-",+C38+1)</f>
        <v>2032</v>
      </c>
      <c r="D39" s="509">
        <f>IF(F38+SUM(E$17:E38)=D$10,F38,D$10-SUM(E$17:E38))</f>
        <v>437338.14387601614</v>
      </c>
      <c r="E39" s="510">
        <f>IF(+I14&lt;F38,I14,D39)</f>
        <v>29872.030303030304</v>
      </c>
      <c r="F39" s="511">
        <f t="shared" si="19"/>
        <v>407466.11357298587</v>
      </c>
      <c r="G39" s="512">
        <f t="shared" si="20"/>
        <v>78346.380687220546</v>
      </c>
      <c r="H39" s="478">
        <f t="shared" si="21"/>
        <v>78346.380687220546</v>
      </c>
      <c r="I39" s="501">
        <f t="shared" si="0"/>
        <v>0</v>
      </c>
      <c r="J39" s="501"/>
      <c r="K39" s="513"/>
      <c r="L39" s="505">
        <f t="shared" si="2"/>
        <v>0</v>
      </c>
      <c r="M39" s="513"/>
      <c r="N39" s="505">
        <f t="shared" si="4"/>
        <v>0</v>
      </c>
      <c r="O39" s="505">
        <f t="shared" si="5"/>
        <v>0</v>
      </c>
      <c r="P39" s="279"/>
      <c r="R39" s="244"/>
      <c r="S39" s="244"/>
      <c r="T39" s="244"/>
      <c r="U39" s="244"/>
    </row>
    <row r="40" spans="2:21" ht="12.5">
      <c r="B40" s="145" t="str">
        <f t="shared" si="6"/>
        <v/>
      </c>
      <c r="C40" s="496">
        <f>IF(D11="","-",+C39+1)</f>
        <v>2033</v>
      </c>
      <c r="D40" s="509">
        <f>IF(F39+SUM(E$17:E39)=D$10,F39,D$10-SUM(E$17:E39))</f>
        <v>407466.11357298587</v>
      </c>
      <c r="E40" s="510">
        <f>IF(+I14&lt;F39,I14,D40)</f>
        <v>29872.030303030304</v>
      </c>
      <c r="F40" s="511">
        <f t="shared" si="19"/>
        <v>377594.08326995559</v>
      </c>
      <c r="G40" s="512">
        <f t="shared" si="20"/>
        <v>74918.303115810704</v>
      </c>
      <c r="H40" s="478">
        <f t="shared" si="21"/>
        <v>74918.303115810704</v>
      </c>
      <c r="I40" s="501">
        <f t="shared" si="0"/>
        <v>0</v>
      </c>
      <c r="J40" s="501"/>
      <c r="K40" s="513"/>
      <c r="L40" s="505">
        <f t="shared" si="2"/>
        <v>0</v>
      </c>
      <c r="M40" s="513"/>
      <c r="N40" s="505">
        <f t="shared" si="4"/>
        <v>0</v>
      </c>
      <c r="O40" s="505">
        <f t="shared" si="5"/>
        <v>0</v>
      </c>
      <c r="P40" s="279"/>
      <c r="R40" s="244"/>
      <c r="S40" s="244"/>
      <c r="T40" s="244"/>
      <c r="U40" s="244"/>
    </row>
    <row r="41" spans="2:21" ht="12.5">
      <c r="B41" s="145" t="str">
        <f t="shared" si="6"/>
        <v/>
      </c>
      <c r="C41" s="496">
        <f>IF(D12="","-",+C40+1)</f>
        <v>2034</v>
      </c>
      <c r="D41" s="509">
        <f>IF(F40+SUM(E$17:E40)=D$10,F40,D$10-SUM(E$17:E40))</f>
        <v>377594.08326995559</v>
      </c>
      <c r="E41" s="510">
        <f>IF(+I14&lt;F40,I14,D41)</f>
        <v>29872.030303030304</v>
      </c>
      <c r="F41" s="511">
        <f t="shared" si="19"/>
        <v>347722.05296692532</v>
      </c>
      <c r="G41" s="512">
        <f t="shared" si="20"/>
        <v>71490.225544400848</v>
      </c>
      <c r="H41" s="478">
        <f t="shared" si="21"/>
        <v>71490.225544400848</v>
      </c>
      <c r="I41" s="501">
        <f t="shared" si="0"/>
        <v>0</v>
      </c>
      <c r="J41" s="501"/>
      <c r="K41" s="513"/>
      <c r="L41" s="505">
        <f t="shared" si="2"/>
        <v>0</v>
      </c>
      <c r="M41" s="513"/>
      <c r="N41" s="505">
        <f t="shared" si="4"/>
        <v>0</v>
      </c>
      <c r="O41" s="505">
        <f t="shared" si="5"/>
        <v>0</v>
      </c>
      <c r="P41" s="279"/>
      <c r="R41" s="244"/>
      <c r="S41" s="244"/>
      <c r="T41" s="244"/>
      <c r="U41" s="244"/>
    </row>
    <row r="42" spans="2:21" ht="12.5">
      <c r="B42" s="145" t="str">
        <f t="shared" si="6"/>
        <v/>
      </c>
      <c r="C42" s="496">
        <f>IF(D13="","-",+C41+1)</f>
        <v>2035</v>
      </c>
      <c r="D42" s="509">
        <f>IF(F41+SUM(E$17:E41)=D$10,F41,D$10-SUM(E$17:E41))</f>
        <v>347722.05296692532</v>
      </c>
      <c r="E42" s="510">
        <f>IF(+I14&lt;F41,I14,D42)</f>
        <v>29872.030303030304</v>
      </c>
      <c r="F42" s="511">
        <f t="shared" si="19"/>
        <v>317850.02266389504</v>
      </c>
      <c r="G42" s="512">
        <f t="shared" si="20"/>
        <v>68062.147972990992</v>
      </c>
      <c r="H42" s="478">
        <f t="shared" si="21"/>
        <v>68062.147972990992</v>
      </c>
      <c r="I42" s="501">
        <f t="shared" si="0"/>
        <v>0</v>
      </c>
      <c r="J42" s="501"/>
      <c r="K42" s="513"/>
      <c r="L42" s="505">
        <f t="shared" si="2"/>
        <v>0</v>
      </c>
      <c r="M42" s="513"/>
      <c r="N42" s="505">
        <f t="shared" si="4"/>
        <v>0</v>
      </c>
      <c r="O42" s="505">
        <f t="shared" si="5"/>
        <v>0</v>
      </c>
      <c r="P42" s="279"/>
      <c r="R42" s="244"/>
      <c r="S42" s="244"/>
      <c r="T42" s="244"/>
      <c r="U42" s="244"/>
    </row>
    <row r="43" spans="2:21" ht="12.5">
      <c r="B43" s="145" t="str">
        <f t="shared" si="6"/>
        <v/>
      </c>
      <c r="C43" s="496">
        <f>IF(D11="","-",+C42+1)</f>
        <v>2036</v>
      </c>
      <c r="D43" s="509">
        <f>IF(F42+SUM(E$17:E42)=D$10,F42,D$10-SUM(E$17:E42))</f>
        <v>317850.02266389504</v>
      </c>
      <c r="E43" s="510">
        <f>IF(+I14&lt;F42,I14,D43)</f>
        <v>29872.030303030304</v>
      </c>
      <c r="F43" s="511">
        <f t="shared" si="19"/>
        <v>287977.99236086477</v>
      </c>
      <c r="G43" s="512">
        <f t="shared" si="20"/>
        <v>64634.07040158115</v>
      </c>
      <c r="H43" s="478">
        <f t="shared" si="21"/>
        <v>64634.07040158115</v>
      </c>
      <c r="I43" s="501">
        <f t="shared" si="0"/>
        <v>0</v>
      </c>
      <c r="J43" s="501"/>
      <c r="K43" s="513"/>
      <c r="L43" s="505">
        <f t="shared" si="2"/>
        <v>0</v>
      </c>
      <c r="M43" s="513"/>
      <c r="N43" s="505">
        <f t="shared" si="4"/>
        <v>0</v>
      </c>
      <c r="O43" s="505">
        <f t="shared" si="5"/>
        <v>0</v>
      </c>
      <c r="P43" s="279"/>
      <c r="R43" s="244"/>
      <c r="S43" s="244"/>
      <c r="T43" s="244"/>
      <c r="U43" s="244"/>
    </row>
    <row r="44" spans="2:21" ht="12.5">
      <c r="B44" s="145" t="str">
        <f t="shared" si="6"/>
        <v/>
      </c>
      <c r="C44" s="496">
        <f>IF(D11="","-",+C43+1)</f>
        <v>2037</v>
      </c>
      <c r="D44" s="509">
        <f>IF(F43+SUM(E$17:E43)=D$10,F43,D$10-SUM(E$17:E43))</f>
        <v>287977.99236086477</v>
      </c>
      <c r="E44" s="510">
        <f>IF(+I14&lt;F43,I14,D44)</f>
        <v>29872.030303030304</v>
      </c>
      <c r="F44" s="511">
        <f t="shared" si="19"/>
        <v>258105.96205783446</v>
      </c>
      <c r="G44" s="512">
        <f t="shared" si="20"/>
        <v>61205.992830171293</v>
      </c>
      <c r="H44" s="478">
        <f t="shared" si="21"/>
        <v>61205.992830171293</v>
      </c>
      <c r="I44" s="501">
        <f t="shared" si="0"/>
        <v>0</v>
      </c>
      <c r="J44" s="501"/>
      <c r="K44" s="513"/>
      <c r="L44" s="505">
        <f t="shared" si="2"/>
        <v>0</v>
      </c>
      <c r="M44" s="513"/>
      <c r="N44" s="505">
        <f t="shared" si="4"/>
        <v>0</v>
      </c>
      <c r="O44" s="505">
        <f t="shared" si="5"/>
        <v>0</v>
      </c>
      <c r="P44" s="279"/>
      <c r="R44" s="244"/>
      <c r="S44" s="244"/>
      <c r="T44" s="244"/>
      <c r="U44" s="244"/>
    </row>
    <row r="45" spans="2:21" ht="12.5">
      <c r="B45" s="145" t="str">
        <f t="shared" si="6"/>
        <v/>
      </c>
      <c r="C45" s="496">
        <f>IF(D11="","-",+C44+1)</f>
        <v>2038</v>
      </c>
      <c r="D45" s="509">
        <f>IF(F44+SUM(E$17:E44)=D$10,F44,D$10-SUM(E$17:E44))</f>
        <v>258105.96205783446</v>
      </c>
      <c r="E45" s="510">
        <f>IF(+I14&lt;F44,I14,D45)</f>
        <v>29872.030303030304</v>
      </c>
      <c r="F45" s="511">
        <f t="shared" si="19"/>
        <v>228233.93175480416</v>
      </c>
      <c r="G45" s="512">
        <f t="shared" si="20"/>
        <v>57777.915258761437</v>
      </c>
      <c r="H45" s="478">
        <f t="shared" si="21"/>
        <v>57777.915258761437</v>
      </c>
      <c r="I45" s="501">
        <f t="shared" si="0"/>
        <v>0</v>
      </c>
      <c r="J45" s="501"/>
      <c r="K45" s="513"/>
      <c r="L45" s="505">
        <f t="shared" si="2"/>
        <v>0</v>
      </c>
      <c r="M45" s="513"/>
      <c r="N45" s="505">
        <f t="shared" si="4"/>
        <v>0</v>
      </c>
      <c r="O45" s="505">
        <f t="shared" si="5"/>
        <v>0</v>
      </c>
      <c r="P45" s="279"/>
      <c r="R45" s="244"/>
      <c r="S45" s="244"/>
      <c r="T45" s="244"/>
      <c r="U45" s="244"/>
    </row>
    <row r="46" spans="2:21" ht="12.5">
      <c r="B46" s="145" t="str">
        <f t="shared" si="6"/>
        <v/>
      </c>
      <c r="C46" s="496">
        <f>IF(D11="","-",+C45+1)</f>
        <v>2039</v>
      </c>
      <c r="D46" s="509">
        <f>IF(F45+SUM(E$17:E45)=D$10,F45,D$10-SUM(E$17:E45))</f>
        <v>228233.93175480416</v>
      </c>
      <c r="E46" s="510">
        <f>IF(+I14&lt;F45,I14,D46)</f>
        <v>29872.030303030304</v>
      </c>
      <c r="F46" s="511">
        <f t="shared" si="19"/>
        <v>198361.90145177385</v>
      </c>
      <c r="G46" s="512">
        <f t="shared" si="20"/>
        <v>54349.837687351595</v>
      </c>
      <c r="H46" s="478">
        <f t="shared" si="21"/>
        <v>54349.837687351595</v>
      </c>
      <c r="I46" s="501">
        <f t="shared" si="0"/>
        <v>0</v>
      </c>
      <c r="J46" s="501"/>
      <c r="K46" s="513"/>
      <c r="L46" s="505">
        <f t="shared" si="2"/>
        <v>0</v>
      </c>
      <c r="M46" s="513"/>
      <c r="N46" s="505">
        <f t="shared" si="4"/>
        <v>0</v>
      </c>
      <c r="O46" s="505">
        <f t="shared" si="5"/>
        <v>0</v>
      </c>
      <c r="P46" s="279"/>
      <c r="R46" s="244"/>
      <c r="S46" s="244"/>
      <c r="T46" s="244"/>
      <c r="U46" s="244"/>
    </row>
    <row r="47" spans="2:21" ht="12.5">
      <c r="B47" s="145" t="str">
        <f t="shared" si="6"/>
        <v/>
      </c>
      <c r="C47" s="496">
        <f>IF(D11="","-",+C46+1)</f>
        <v>2040</v>
      </c>
      <c r="D47" s="509">
        <f>IF(F46+SUM(E$17:E46)=D$10,F46,D$10-SUM(E$17:E46))</f>
        <v>198361.90145177385</v>
      </c>
      <c r="E47" s="510">
        <f>IF(+I14&lt;F46,I14,D47)</f>
        <v>29872.030303030304</v>
      </c>
      <c r="F47" s="511">
        <f t="shared" si="19"/>
        <v>168489.87114874355</v>
      </c>
      <c r="G47" s="512">
        <f t="shared" si="20"/>
        <v>50921.760115941739</v>
      </c>
      <c r="H47" s="478">
        <f t="shared" si="21"/>
        <v>50921.760115941739</v>
      </c>
      <c r="I47" s="501">
        <f t="shared" si="0"/>
        <v>0</v>
      </c>
      <c r="J47" s="501"/>
      <c r="K47" s="513"/>
      <c r="L47" s="505">
        <f t="shared" si="2"/>
        <v>0</v>
      </c>
      <c r="M47" s="513"/>
      <c r="N47" s="505">
        <f t="shared" si="4"/>
        <v>0</v>
      </c>
      <c r="O47" s="505">
        <f t="shared" si="5"/>
        <v>0</v>
      </c>
      <c r="P47" s="279"/>
      <c r="R47" s="244"/>
      <c r="S47" s="244"/>
      <c r="T47" s="244"/>
      <c r="U47" s="244"/>
    </row>
    <row r="48" spans="2:21" ht="12.5">
      <c r="B48" s="145" t="str">
        <f t="shared" si="6"/>
        <v/>
      </c>
      <c r="C48" s="496">
        <f>IF(D11="","-",+C47+1)</f>
        <v>2041</v>
      </c>
      <c r="D48" s="509">
        <f>IF(F47+SUM(E$17:E47)=D$10,F47,D$10-SUM(E$17:E47))</f>
        <v>168489.87114874355</v>
      </c>
      <c r="E48" s="510">
        <f>IF(+I14&lt;F47,I14,D48)</f>
        <v>29872.030303030304</v>
      </c>
      <c r="F48" s="511">
        <f t="shared" si="19"/>
        <v>138617.84084571325</v>
      </c>
      <c r="G48" s="512">
        <f t="shared" si="20"/>
        <v>47493.682544531883</v>
      </c>
      <c r="H48" s="478">
        <f t="shared" si="21"/>
        <v>47493.682544531883</v>
      </c>
      <c r="I48" s="501">
        <f t="shared" si="0"/>
        <v>0</v>
      </c>
      <c r="J48" s="501"/>
      <c r="K48" s="513"/>
      <c r="L48" s="505">
        <f t="shared" si="2"/>
        <v>0</v>
      </c>
      <c r="M48" s="513"/>
      <c r="N48" s="505">
        <f t="shared" si="4"/>
        <v>0</v>
      </c>
      <c r="O48" s="505">
        <f t="shared" si="5"/>
        <v>0</v>
      </c>
      <c r="P48" s="279"/>
      <c r="R48" s="244"/>
      <c r="S48" s="244"/>
      <c r="T48" s="244"/>
      <c r="U48" s="244"/>
    </row>
    <row r="49" spans="2:21" ht="12.5">
      <c r="B49" s="145" t="str">
        <f t="shared" si="6"/>
        <v/>
      </c>
      <c r="C49" s="496">
        <f>IF(D11="","-",+C48+1)</f>
        <v>2042</v>
      </c>
      <c r="D49" s="509">
        <f>IF(F48+SUM(E$17:E48)=D$10,F48,D$10-SUM(E$17:E48))</f>
        <v>138617.84084571325</v>
      </c>
      <c r="E49" s="510">
        <f>IF(+I14&lt;F48,I14,D49)</f>
        <v>29872.030303030304</v>
      </c>
      <c r="F49" s="511">
        <f t="shared" si="19"/>
        <v>108745.81054268294</v>
      </c>
      <c r="G49" s="512">
        <f t="shared" si="20"/>
        <v>44065.604973122026</v>
      </c>
      <c r="H49" s="478">
        <f t="shared" si="21"/>
        <v>44065.604973122026</v>
      </c>
      <c r="I49" s="501">
        <f t="shared" si="0"/>
        <v>0</v>
      </c>
      <c r="J49" s="501"/>
      <c r="K49" s="513"/>
      <c r="L49" s="505">
        <f t="shared" si="2"/>
        <v>0</v>
      </c>
      <c r="M49" s="513"/>
      <c r="N49" s="505">
        <f t="shared" si="4"/>
        <v>0</v>
      </c>
      <c r="O49" s="505">
        <f t="shared" si="5"/>
        <v>0</v>
      </c>
      <c r="P49" s="279"/>
      <c r="R49" s="244"/>
      <c r="S49" s="244"/>
      <c r="T49" s="244"/>
      <c r="U49" s="244"/>
    </row>
    <row r="50" spans="2:21" ht="12.5">
      <c r="B50" s="145" t="str">
        <f t="shared" si="6"/>
        <v/>
      </c>
      <c r="C50" s="496">
        <f>IF(D11="","-",+C49+1)</f>
        <v>2043</v>
      </c>
      <c r="D50" s="509">
        <f>IF(F49+SUM(E$17:E49)=D$10,F49,D$10-SUM(E$17:E49))</f>
        <v>108745.81054268294</v>
      </c>
      <c r="E50" s="510">
        <f>IF(+I14&lt;F49,I14,D50)</f>
        <v>29872.030303030304</v>
      </c>
      <c r="F50" s="511">
        <f t="shared" ref="F50:F73" si="22">+D50-E50</f>
        <v>78873.780239652639</v>
      </c>
      <c r="G50" s="512">
        <f t="shared" si="20"/>
        <v>40637.527401712177</v>
      </c>
      <c r="H50" s="478">
        <f t="shared" si="21"/>
        <v>40637.527401712177</v>
      </c>
      <c r="I50" s="501">
        <f t="shared" ref="I50:I73" si="23">H50-G50</f>
        <v>0</v>
      </c>
      <c r="J50" s="501"/>
      <c r="K50" s="513"/>
      <c r="L50" s="505">
        <f t="shared" ref="L50:L73" si="24">IF(K50&lt;&gt;0,+G50-K50,0)</f>
        <v>0</v>
      </c>
      <c r="M50" s="513"/>
      <c r="N50" s="505">
        <f t="shared" ref="N50:N73" si="25">IF(M50&lt;&gt;0,+H50-M50,0)</f>
        <v>0</v>
      </c>
      <c r="O50" s="505">
        <f t="shared" ref="O50:O73" si="26">+N50-L50</f>
        <v>0</v>
      </c>
      <c r="P50" s="279"/>
      <c r="R50" s="244"/>
      <c r="S50" s="244"/>
      <c r="T50" s="244"/>
      <c r="U50" s="244"/>
    </row>
    <row r="51" spans="2:21" ht="12.5">
      <c r="B51" s="145" t="str">
        <f t="shared" si="6"/>
        <v/>
      </c>
      <c r="C51" s="496">
        <f>IF(D11="","-",+C50+1)</f>
        <v>2044</v>
      </c>
      <c r="D51" s="509">
        <f>IF(F50+SUM(E$17:E50)=D$10,F50,D$10-SUM(E$17:E50))</f>
        <v>78873.780239652639</v>
      </c>
      <c r="E51" s="510">
        <f>IF(+I14&lt;F50,I14,D51)</f>
        <v>29872.030303030304</v>
      </c>
      <c r="F51" s="511">
        <f t="shared" si="22"/>
        <v>49001.749936622335</v>
      </c>
      <c r="G51" s="512">
        <f t="shared" si="20"/>
        <v>37209.449830302321</v>
      </c>
      <c r="H51" s="478">
        <f t="shared" si="21"/>
        <v>37209.449830302321</v>
      </c>
      <c r="I51" s="501">
        <f t="shared" si="23"/>
        <v>0</v>
      </c>
      <c r="J51" s="501"/>
      <c r="K51" s="513"/>
      <c r="L51" s="505">
        <f t="shared" si="24"/>
        <v>0</v>
      </c>
      <c r="M51" s="513"/>
      <c r="N51" s="505">
        <f t="shared" si="25"/>
        <v>0</v>
      </c>
      <c r="O51" s="505">
        <f t="shared" si="26"/>
        <v>0</v>
      </c>
      <c r="P51" s="279"/>
      <c r="R51" s="244"/>
      <c r="S51" s="244"/>
      <c r="T51" s="244"/>
      <c r="U51" s="244"/>
    </row>
    <row r="52" spans="2:21" ht="12.5">
      <c r="B52" s="145" t="str">
        <f t="shared" si="6"/>
        <v/>
      </c>
      <c r="C52" s="496">
        <f>IF(D11="","-",+C51+1)</f>
        <v>2045</v>
      </c>
      <c r="D52" s="509">
        <f>IF(F51+SUM(E$17:E51)=D$10,F51,D$10-SUM(E$17:E51))</f>
        <v>49001.749936622335</v>
      </c>
      <c r="E52" s="510">
        <f>IF(+I14&lt;F51,I14,D52)</f>
        <v>29872.030303030304</v>
      </c>
      <c r="F52" s="511">
        <f t="shared" si="22"/>
        <v>19129.719633592031</v>
      </c>
      <c r="G52" s="512">
        <f t="shared" si="20"/>
        <v>33781.372258892472</v>
      </c>
      <c r="H52" s="478">
        <f t="shared" si="21"/>
        <v>33781.372258892472</v>
      </c>
      <c r="I52" s="501">
        <f t="shared" si="23"/>
        <v>0</v>
      </c>
      <c r="J52" s="501"/>
      <c r="K52" s="513"/>
      <c r="L52" s="505">
        <f t="shared" si="24"/>
        <v>0</v>
      </c>
      <c r="M52" s="513"/>
      <c r="N52" s="505">
        <f t="shared" si="25"/>
        <v>0</v>
      </c>
      <c r="O52" s="505">
        <f t="shared" si="26"/>
        <v>0</v>
      </c>
      <c r="P52" s="279"/>
      <c r="R52" s="244"/>
      <c r="S52" s="244"/>
      <c r="T52" s="244"/>
      <c r="U52" s="244"/>
    </row>
    <row r="53" spans="2:21" ht="12.5">
      <c r="B53" s="145" t="str">
        <f t="shared" si="6"/>
        <v/>
      </c>
      <c r="C53" s="496">
        <f>IF(D11="","-",+C52+1)</f>
        <v>2046</v>
      </c>
      <c r="D53" s="509">
        <f>IF(F52+SUM(E$17:E52)=D$10,F52,D$10-SUM(E$17:E52))</f>
        <v>19129.719633592031</v>
      </c>
      <c r="E53" s="510">
        <f>IF(+I14&lt;F52,I14,D53)</f>
        <v>19129.719633592031</v>
      </c>
      <c r="F53" s="511">
        <f t="shared" si="22"/>
        <v>0</v>
      </c>
      <c r="G53" s="512">
        <f t="shared" si="20"/>
        <v>20227.371218670651</v>
      </c>
      <c r="H53" s="478">
        <f t="shared" si="21"/>
        <v>20227.371218670651</v>
      </c>
      <c r="I53" s="501">
        <f t="shared" si="23"/>
        <v>0</v>
      </c>
      <c r="J53" s="501"/>
      <c r="K53" s="513"/>
      <c r="L53" s="505">
        <f t="shared" si="24"/>
        <v>0</v>
      </c>
      <c r="M53" s="513"/>
      <c r="N53" s="505">
        <f t="shared" si="25"/>
        <v>0</v>
      </c>
      <c r="O53" s="505">
        <f t="shared" si="26"/>
        <v>0</v>
      </c>
      <c r="P53" s="279"/>
      <c r="R53" s="244"/>
      <c r="S53" s="244"/>
      <c r="T53" s="244"/>
      <c r="U53" s="244"/>
    </row>
    <row r="54" spans="2:21" ht="12.5">
      <c r="B54" s="145" t="str">
        <f t="shared" si="6"/>
        <v/>
      </c>
      <c r="C54" s="496">
        <f>IF(D11="","-",+C53+1)</f>
        <v>2047</v>
      </c>
      <c r="D54" s="509">
        <f>IF(F53+SUM(E$17:E53)=D$10,F53,D$10-SUM(E$17:E53))</f>
        <v>0</v>
      </c>
      <c r="E54" s="510">
        <f>IF(+I14&lt;F53,I14,D54)</f>
        <v>0</v>
      </c>
      <c r="F54" s="511">
        <f t="shared" si="22"/>
        <v>0</v>
      </c>
      <c r="G54" s="512">
        <f t="shared" si="20"/>
        <v>0</v>
      </c>
      <c r="H54" s="478">
        <f t="shared" si="21"/>
        <v>0</v>
      </c>
      <c r="I54" s="501">
        <f t="shared" si="23"/>
        <v>0</v>
      </c>
      <c r="J54" s="501"/>
      <c r="K54" s="513"/>
      <c r="L54" s="505">
        <f t="shared" si="24"/>
        <v>0</v>
      </c>
      <c r="M54" s="513"/>
      <c r="N54" s="505">
        <f t="shared" si="25"/>
        <v>0</v>
      </c>
      <c r="O54" s="505">
        <f t="shared" si="26"/>
        <v>0</v>
      </c>
      <c r="P54" s="279"/>
      <c r="R54" s="244"/>
      <c r="S54" s="244"/>
      <c r="T54" s="244"/>
      <c r="U54" s="244"/>
    </row>
    <row r="55" spans="2:21" ht="12.5">
      <c r="B55" s="145" t="str">
        <f t="shared" si="6"/>
        <v/>
      </c>
      <c r="C55" s="496">
        <f>IF(D11="","-",+C54+1)</f>
        <v>2048</v>
      </c>
      <c r="D55" s="509">
        <f>IF(F54+SUM(E$17:E54)=D$10,F54,D$10-SUM(E$17:E54))</f>
        <v>0</v>
      </c>
      <c r="E55" s="510">
        <f>IF(+I14&lt;F54,I14,D55)</f>
        <v>0</v>
      </c>
      <c r="F55" s="511">
        <f t="shared" si="22"/>
        <v>0</v>
      </c>
      <c r="G55" s="512">
        <f t="shared" si="20"/>
        <v>0</v>
      </c>
      <c r="H55" s="478">
        <f t="shared" si="21"/>
        <v>0</v>
      </c>
      <c r="I55" s="501">
        <f t="shared" si="23"/>
        <v>0</v>
      </c>
      <c r="J55" s="501"/>
      <c r="K55" s="513"/>
      <c r="L55" s="505">
        <f t="shared" si="24"/>
        <v>0</v>
      </c>
      <c r="M55" s="513"/>
      <c r="N55" s="505">
        <f t="shared" si="25"/>
        <v>0</v>
      </c>
      <c r="O55" s="505">
        <f t="shared" si="26"/>
        <v>0</v>
      </c>
      <c r="P55" s="279"/>
      <c r="R55" s="244"/>
      <c r="S55" s="244"/>
      <c r="T55" s="244"/>
      <c r="U55" s="244"/>
    </row>
    <row r="56" spans="2:21" ht="12.5">
      <c r="B56" s="145" t="str">
        <f t="shared" si="6"/>
        <v/>
      </c>
      <c r="C56" s="496">
        <f>IF(D11="","-",+C55+1)</f>
        <v>2049</v>
      </c>
      <c r="D56" s="509">
        <f>IF(F55+SUM(E$17:E55)=D$10,F55,D$10-SUM(E$17:E55))</f>
        <v>0</v>
      </c>
      <c r="E56" s="510">
        <f>IF(+I14&lt;F55,I14,D56)</f>
        <v>0</v>
      </c>
      <c r="F56" s="511">
        <f t="shared" si="22"/>
        <v>0</v>
      </c>
      <c r="G56" s="512">
        <f t="shared" si="20"/>
        <v>0</v>
      </c>
      <c r="H56" s="478">
        <f t="shared" si="21"/>
        <v>0</v>
      </c>
      <c r="I56" s="501">
        <f t="shared" si="23"/>
        <v>0</v>
      </c>
      <c r="J56" s="501"/>
      <c r="K56" s="513"/>
      <c r="L56" s="505">
        <f t="shared" si="24"/>
        <v>0</v>
      </c>
      <c r="M56" s="513"/>
      <c r="N56" s="505">
        <f t="shared" si="25"/>
        <v>0</v>
      </c>
      <c r="O56" s="505">
        <f t="shared" si="26"/>
        <v>0</v>
      </c>
      <c r="P56" s="279"/>
      <c r="R56" s="244"/>
      <c r="S56" s="244"/>
      <c r="T56" s="244"/>
      <c r="U56" s="244"/>
    </row>
    <row r="57" spans="2:21" ht="12.5">
      <c r="B57" s="145" t="str">
        <f t="shared" si="6"/>
        <v/>
      </c>
      <c r="C57" s="496">
        <f>IF(D11="","-",+C56+1)</f>
        <v>2050</v>
      </c>
      <c r="D57" s="509">
        <f>IF(F56+SUM(E$17:E56)=D$10,F56,D$10-SUM(E$17:E56))</f>
        <v>0</v>
      </c>
      <c r="E57" s="510">
        <f>IF(+I14&lt;F56,I14,D57)</f>
        <v>0</v>
      </c>
      <c r="F57" s="511">
        <f t="shared" si="22"/>
        <v>0</v>
      </c>
      <c r="G57" s="512">
        <f t="shared" si="20"/>
        <v>0</v>
      </c>
      <c r="H57" s="478">
        <f t="shared" si="21"/>
        <v>0</v>
      </c>
      <c r="I57" s="501">
        <f t="shared" si="23"/>
        <v>0</v>
      </c>
      <c r="J57" s="501"/>
      <c r="K57" s="513"/>
      <c r="L57" s="505">
        <f t="shared" si="24"/>
        <v>0</v>
      </c>
      <c r="M57" s="513"/>
      <c r="N57" s="505">
        <f t="shared" si="25"/>
        <v>0</v>
      </c>
      <c r="O57" s="505">
        <f t="shared" si="26"/>
        <v>0</v>
      </c>
      <c r="P57" s="279"/>
      <c r="R57" s="244"/>
      <c r="S57" s="244"/>
      <c r="T57" s="244"/>
      <c r="U57" s="244"/>
    </row>
    <row r="58" spans="2:21" ht="12.5">
      <c r="B58" s="145" t="str">
        <f t="shared" si="6"/>
        <v/>
      </c>
      <c r="C58" s="496">
        <f>IF(D11="","-",+C57+1)</f>
        <v>2051</v>
      </c>
      <c r="D58" s="509">
        <f>IF(F57+SUM(E$17:E57)=D$10,F57,D$10-SUM(E$17:E57))</f>
        <v>0</v>
      </c>
      <c r="E58" s="510">
        <f>IF(+I14&lt;F57,I14,D58)</f>
        <v>0</v>
      </c>
      <c r="F58" s="511">
        <f t="shared" si="22"/>
        <v>0</v>
      </c>
      <c r="G58" s="512">
        <f t="shared" si="20"/>
        <v>0</v>
      </c>
      <c r="H58" s="478">
        <f t="shared" si="21"/>
        <v>0</v>
      </c>
      <c r="I58" s="501">
        <f t="shared" si="23"/>
        <v>0</v>
      </c>
      <c r="J58" s="501"/>
      <c r="K58" s="513"/>
      <c r="L58" s="505">
        <f t="shared" si="24"/>
        <v>0</v>
      </c>
      <c r="M58" s="513"/>
      <c r="N58" s="505">
        <f t="shared" si="25"/>
        <v>0</v>
      </c>
      <c r="O58" s="505">
        <f t="shared" si="26"/>
        <v>0</v>
      </c>
      <c r="P58" s="279"/>
      <c r="R58" s="244"/>
      <c r="S58" s="244"/>
      <c r="T58" s="244"/>
      <c r="U58" s="244"/>
    </row>
    <row r="59" spans="2:21" ht="12.5">
      <c r="B59" s="145" t="str">
        <f t="shared" si="6"/>
        <v/>
      </c>
      <c r="C59" s="496">
        <f>IF(D11="","-",+C58+1)</f>
        <v>2052</v>
      </c>
      <c r="D59" s="509">
        <f>IF(F58+SUM(E$17:E58)=D$10,F58,D$10-SUM(E$17:E58))</f>
        <v>0</v>
      </c>
      <c r="E59" s="510">
        <f>IF(+I14&lt;F58,I14,D59)</f>
        <v>0</v>
      </c>
      <c r="F59" s="511">
        <f t="shared" si="22"/>
        <v>0</v>
      </c>
      <c r="G59" s="512">
        <f t="shared" si="20"/>
        <v>0</v>
      </c>
      <c r="H59" s="478">
        <f t="shared" si="21"/>
        <v>0</v>
      </c>
      <c r="I59" s="501">
        <f t="shared" si="23"/>
        <v>0</v>
      </c>
      <c r="J59" s="501"/>
      <c r="K59" s="513"/>
      <c r="L59" s="505">
        <f t="shared" si="24"/>
        <v>0</v>
      </c>
      <c r="M59" s="513"/>
      <c r="N59" s="505">
        <f t="shared" si="25"/>
        <v>0</v>
      </c>
      <c r="O59" s="505">
        <f t="shared" si="26"/>
        <v>0</v>
      </c>
      <c r="P59" s="279"/>
      <c r="R59" s="244"/>
      <c r="S59" s="244"/>
      <c r="T59" s="244"/>
      <c r="U59" s="244"/>
    </row>
    <row r="60" spans="2:21" ht="12.5">
      <c r="B60" s="145" t="str">
        <f t="shared" si="6"/>
        <v/>
      </c>
      <c r="C60" s="496">
        <f>IF(D11="","-",+C59+1)</f>
        <v>2053</v>
      </c>
      <c r="D60" s="509">
        <f>IF(F59+SUM(E$17:E59)=D$10,F59,D$10-SUM(E$17:E59))</f>
        <v>0</v>
      </c>
      <c r="E60" s="510">
        <f>IF(+I14&lt;F59,I14,D60)</f>
        <v>0</v>
      </c>
      <c r="F60" s="511">
        <f t="shared" si="22"/>
        <v>0</v>
      </c>
      <c r="G60" s="512">
        <f t="shared" si="20"/>
        <v>0</v>
      </c>
      <c r="H60" s="478">
        <f t="shared" si="21"/>
        <v>0</v>
      </c>
      <c r="I60" s="501">
        <f t="shared" si="23"/>
        <v>0</v>
      </c>
      <c r="J60" s="501"/>
      <c r="K60" s="513"/>
      <c r="L60" s="505">
        <f t="shared" si="24"/>
        <v>0</v>
      </c>
      <c r="M60" s="513"/>
      <c r="N60" s="505">
        <f t="shared" si="25"/>
        <v>0</v>
      </c>
      <c r="O60" s="505">
        <f t="shared" si="26"/>
        <v>0</v>
      </c>
      <c r="P60" s="279"/>
      <c r="R60" s="244"/>
      <c r="S60" s="244"/>
      <c r="T60" s="244"/>
      <c r="U60" s="244"/>
    </row>
    <row r="61" spans="2:21" ht="12.5">
      <c r="B61" s="145" t="str">
        <f t="shared" si="6"/>
        <v/>
      </c>
      <c r="C61" s="496">
        <f>IF(D11="","-",+C60+1)</f>
        <v>2054</v>
      </c>
      <c r="D61" s="509">
        <f>IF(F60+SUM(E$17:E60)=D$10,F60,D$10-SUM(E$17:E60))</f>
        <v>0</v>
      </c>
      <c r="E61" s="510">
        <f>IF(+I14&lt;F60,I14,D61)</f>
        <v>0</v>
      </c>
      <c r="F61" s="511">
        <f t="shared" si="22"/>
        <v>0</v>
      </c>
      <c r="G61" s="512">
        <f t="shared" si="20"/>
        <v>0</v>
      </c>
      <c r="H61" s="478">
        <f t="shared" si="21"/>
        <v>0</v>
      </c>
      <c r="I61" s="501">
        <f t="shared" si="23"/>
        <v>0</v>
      </c>
      <c r="J61" s="501"/>
      <c r="K61" s="513"/>
      <c r="L61" s="505">
        <f t="shared" si="24"/>
        <v>0</v>
      </c>
      <c r="M61" s="513"/>
      <c r="N61" s="505">
        <f t="shared" si="25"/>
        <v>0</v>
      </c>
      <c r="O61" s="505">
        <f t="shared" si="26"/>
        <v>0</v>
      </c>
      <c r="P61" s="279"/>
      <c r="R61" s="244"/>
      <c r="S61" s="244"/>
      <c r="T61" s="244"/>
      <c r="U61" s="244"/>
    </row>
    <row r="62" spans="2:21" ht="12.5">
      <c r="B62" s="145" t="str">
        <f t="shared" si="6"/>
        <v/>
      </c>
      <c r="C62" s="496">
        <f>IF(D11="","-",+C61+1)</f>
        <v>2055</v>
      </c>
      <c r="D62" s="509">
        <f>IF(F61+SUM(E$17:E61)=D$10,F61,D$10-SUM(E$17:E61))</f>
        <v>0</v>
      </c>
      <c r="E62" s="510">
        <f>IF(+I14&lt;F61,I14,D62)</f>
        <v>0</v>
      </c>
      <c r="F62" s="511">
        <f t="shared" si="22"/>
        <v>0</v>
      </c>
      <c r="G62" s="524">
        <f t="shared" si="20"/>
        <v>0</v>
      </c>
      <c r="H62" s="478">
        <f t="shared" si="21"/>
        <v>0</v>
      </c>
      <c r="I62" s="501">
        <f t="shared" si="23"/>
        <v>0</v>
      </c>
      <c r="J62" s="501"/>
      <c r="K62" s="513"/>
      <c r="L62" s="505">
        <f t="shared" si="24"/>
        <v>0</v>
      </c>
      <c r="M62" s="513"/>
      <c r="N62" s="505">
        <f t="shared" si="25"/>
        <v>0</v>
      </c>
      <c r="O62" s="505">
        <f t="shared" si="26"/>
        <v>0</v>
      </c>
      <c r="P62" s="279"/>
      <c r="R62" s="244"/>
      <c r="S62" s="244"/>
      <c r="T62" s="244"/>
      <c r="U62" s="244"/>
    </row>
    <row r="63" spans="2:21" ht="12.5">
      <c r="B63" s="145" t="str">
        <f t="shared" si="6"/>
        <v/>
      </c>
      <c r="C63" s="496">
        <f>IF(D11="","-",+C62+1)</f>
        <v>2056</v>
      </c>
      <c r="D63" s="509">
        <f>IF(F62+SUM(E$17:E62)=D$10,F62,D$10-SUM(E$17:E62))</f>
        <v>0</v>
      </c>
      <c r="E63" s="510">
        <f>IF(+I14&lt;F62,I14,D63)</f>
        <v>0</v>
      </c>
      <c r="F63" s="511">
        <f t="shared" si="22"/>
        <v>0</v>
      </c>
      <c r="G63" s="524">
        <f t="shared" si="20"/>
        <v>0</v>
      </c>
      <c r="H63" s="478">
        <f t="shared" si="21"/>
        <v>0</v>
      </c>
      <c r="I63" s="501">
        <f t="shared" si="23"/>
        <v>0</v>
      </c>
      <c r="J63" s="501"/>
      <c r="K63" s="513"/>
      <c r="L63" s="505">
        <f t="shared" si="24"/>
        <v>0</v>
      </c>
      <c r="M63" s="513"/>
      <c r="N63" s="505">
        <f t="shared" si="25"/>
        <v>0</v>
      </c>
      <c r="O63" s="505">
        <f t="shared" si="26"/>
        <v>0</v>
      </c>
      <c r="P63" s="279"/>
      <c r="R63" s="244"/>
      <c r="S63" s="244"/>
      <c r="T63" s="244"/>
      <c r="U63" s="244"/>
    </row>
    <row r="64" spans="2:21" ht="12.5">
      <c r="B64" s="145" t="str">
        <f t="shared" si="6"/>
        <v/>
      </c>
      <c r="C64" s="496">
        <f>IF(D11="","-",+C63+1)</f>
        <v>2057</v>
      </c>
      <c r="D64" s="509">
        <f>IF(F63+SUM(E$17:E63)=D$10,F63,D$10-SUM(E$17:E63))</f>
        <v>0</v>
      </c>
      <c r="E64" s="510">
        <f>IF(+I14&lt;F63,I14,D64)</f>
        <v>0</v>
      </c>
      <c r="F64" s="511">
        <f t="shared" si="22"/>
        <v>0</v>
      </c>
      <c r="G64" s="524">
        <f t="shared" si="20"/>
        <v>0</v>
      </c>
      <c r="H64" s="478">
        <f t="shared" si="21"/>
        <v>0</v>
      </c>
      <c r="I64" s="501">
        <f t="shared" si="23"/>
        <v>0</v>
      </c>
      <c r="J64" s="501"/>
      <c r="K64" s="513"/>
      <c r="L64" s="505">
        <f t="shared" si="24"/>
        <v>0</v>
      </c>
      <c r="M64" s="513"/>
      <c r="N64" s="505">
        <f t="shared" si="25"/>
        <v>0</v>
      </c>
      <c r="O64" s="505">
        <f t="shared" si="26"/>
        <v>0</v>
      </c>
      <c r="P64" s="279"/>
      <c r="R64" s="244"/>
      <c r="S64" s="244"/>
      <c r="T64" s="244"/>
      <c r="U64" s="244"/>
    </row>
    <row r="65" spans="2:21" ht="12.5">
      <c r="B65" s="145" t="str">
        <f t="shared" si="6"/>
        <v/>
      </c>
      <c r="C65" s="496">
        <f>IF(D11="","-",+C64+1)</f>
        <v>2058</v>
      </c>
      <c r="D65" s="509">
        <f>IF(F64+SUM(E$17:E64)=D$10,F64,D$10-SUM(E$17:E64))</f>
        <v>0</v>
      </c>
      <c r="E65" s="510">
        <f>IF(+I14&lt;F64,I14,D65)</f>
        <v>0</v>
      </c>
      <c r="F65" s="511">
        <f t="shared" si="22"/>
        <v>0</v>
      </c>
      <c r="G65" s="524">
        <f t="shared" si="20"/>
        <v>0</v>
      </c>
      <c r="H65" s="478">
        <f t="shared" si="21"/>
        <v>0</v>
      </c>
      <c r="I65" s="501">
        <f t="shared" si="23"/>
        <v>0</v>
      </c>
      <c r="J65" s="501"/>
      <c r="K65" s="513"/>
      <c r="L65" s="505">
        <f t="shared" si="24"/>
        <v>0</v>
      </c>
      <c r="M65" s="513"/>
      <c r="N65" s="505">
        <f t="shared" si="25"/>
        <v>0</v>
      </c>
      <c r="O65" s="505">
        <f t="shared" si="26"/>
        <v>0</v>
      </c>
      <c r="P65" s="279"/>
      <c r="R65" s="244"/>
      <c r="S65" s="244"/>
      <c r="T65" s="244"/>
      <c r="U65" s="244"/>
    </row>
    <row r="66" spans="2:21" ht="12.5">
      <c r="B66" s="145" t="str">
        <f t="shared" si="6"/>
        <v/>
      </c>
      <c r="C66" s="496">
        <f>IF(D11="","-",+C65+1)</f>
        <v>2059</v>
      </c>
      <c r="D66" s="509">
        <f>IF(F65+SUM(E$17:E65)=D$10,F65,D$10-SUM(E$17:E65))</f>
        <v>0</v>
      </c>
      <c r="E66" s="510">
        <f>IF(+I14&lt;F65,I14,D66)</f>
        <v>0</v>
      </c>
      <c r="F66" s="511">
        <f t="shared" si="22"/>
        <v>0</v>
      </c>
      <c r="G66" s="524">
        <f t="shared" si="20"/>
        <v>0</v>
      </c>
      <c r="H66" s="478">
        <f t="shared" si="21"/>
        <v>0</v>
      </c>
      <c r="I66" s="501">
        <f t="shared" si="23"/>
        <v>0</v>
      </c>
      <c r="J66" s="501"/>
      <c r="K66" s="513"/>
      <c r="L66" s="505">
        <f t="shared" si="24"/>
        <v>0</v>
      </c>
      <c r="M66" s="513"/>
      <c r="N66" s="505">
        <f t="shared" si="25"/>
        <v>0</v>
      </c>
      <c r="O66" s="505">
        <f t="shared" si="26"/>
        <v>0</v>
      </c>
      <c r="P66" s="279"/>
      <c r="R66" s="244"/>
      <c r="S66" s="244"/>
      <c r="T66" s="244"/>
      <c r="U66" s="244"/>
    </row>
    <row r="67" spans="2:21" ht="12.5">
      <c r="B67" s="145" t="str">
        <f t="shared" si="6"/>
        <v/>
      </c>
      <c r="C67" s="496">
        <f>IF(D11="","-",+C66+1)</f>
        <v>2060</v>
      </c>
      <c r="D67" s="509">
        <f>IF(F66+SUM(E$17:E66)=D$10,F66,D$10-SUM(E$17:E66))</f>
        <v>0</v>
      </c>
      <c r="E67" s="510">
        <f>IF(+I14&lt;F66,I14,D67)</f>
        <v>0</v>
      </c>
      <c r="F67" s="511">
        <f t="shared" si="22"/>
        <v>0</v>
      </c>
      <c r="G67" s="524">
        <f t="shared" si="20"/>
        <v>0</v>
      </c>
      <c r="H67" s="478">
        <f t="shared" si="21"/>
        <v>0</v>
      </c>
      <c r="I67" s="501">
        <f t="shared" si="23"/>
        <v>0</v>
      </c>
      <c r="J67" s="501"/>
      <c r="K67" s="513"/>
      <c r="L67" s="505">
        <f t="shared" si="24"/>
        <v>0</v>
      </c>
      <c r="M67" s="513"/>
      <c r="N67" s="505">
        <f t="shared" si="25"/>
        <v>0</v>
      </c>
      <c r="O67" s="505">
        <f t="shared" si="26"/>
        <v>0</v>
      </c>
      <c r="P67" s="279"/>
      <c r="R67" s="244"/>
      <c r="S67" s="244"/>
      <c r="T67" s="244"/>
      <c r="U67" s="244"/>
    </row>
    <row r="68" spans="2:21" ht="12.5">
      <c r="B68" s="145" t="str">
        <f t="shared" si="6"/>
        <v/>
      </c>
      <c r="C68" s="496">
        <f>IF(D11="","-",+C67+1)</f>
        <v>2061</v>
      </c>
      <c r="D68" s="509">
        <f>IF(F67+SUM(E$17:E67)=D$10,F67,D$10-SUM(E$17:E67))</f>
        <v>0</v>
      </c>
      <c r="E68" s="510">
        <f>IF(+I14&lt;F67,I14,D68)</f>
        <v>0</v>
      </c>
      <c r="F68" s="511">
        <f t="shared" si="22"/>
        <v>0</v>
      </c>
      <c r="G68" s="524">
        <f t="shared" si="20"/>
        <v>0</v>
      </c>
      <c r="H68" s="478">
        <f t="shared" si="21"/>
        <v>0</v>
      </c>
      <c r="I68" s="501">
        <f t="shared" si="23"/>
        <v>0</v>
      </c>
      <c r="J68" s="501"/>
      <c r="K68" s="513"/>
      <c r="L68" s="505">
        <f t="shared" si="24"/>
        <v>0</v>
      </c>
      <c r="M68" s="513"/>
      <c r="N68" s="505">
        <f t="shared" si="25"/>
        <v>0</v>
      </c>
      <c r="O68" s="505">
        <f t="shared" si="26"/>
        <v>0</v>
      </c>
      <c r="P68" s="279"/>
      <c r="R68" s="244"/>
      <c r="S68" s="244"/>
      <c r="T68" s="244"/>
      <c r="U68" s="244"/>
    </row>
    <row r="69" spans="2:21" ht="12.5">
      <c r="B69" s="145" t="str">
        <f t="shared" si="6"/>
        <v/>
      </c>
      <c r="C69" s="496">
        <f>IF(D11="","-",+C68+1)</f>
        <v>2062</v>
      </c>
      <c r="D69" s="509">
        <f>IF(F68+SUM(E$17:E68)=D$10,F68,D$10-SUM(E$17:E68))</f>
        <v>0</v>
      </c>
      <c r="E69" s="510">
        <f>IF(+I14&lt;F68,I14,D69)</f>
        <v>0</v>
      </c>
      <c r="F69" s="511">
        <f t="shared" si="22"/>
        <v>0</v>
      </c>
      <c r="G69" s="524">
        <f t="shared" si="20"/>
        <v>0</v>
      </c>
      <c r="H69" s="478">
        <f t="shared" si="21"/>
        <v>0</v>
      </c>
      <c r="I69" s="501">
        <f t="shared" si="23"/>
        <v>0</v>
      </c>
      <c r="J69" s="501"/>
      <c r="K69" s="513"/>
      <c r="L69" s="505">
        <f t="shared" si="24"/>
        <v>0</v>
      </c>
      <c r="M69" s="513"/>
      <c r="N69" s="505">
        <f t="shared" si="25"/>
        <v>0</v>
      </c>
      <c r="O69" s="505">
        <f t="shared" si="26"/>
        <v>0</v>
      </c>
      <c r="P69" s="279"/>
      <c r="R69" s="244"/>
      <c r="S69" s="244"/>
      <c r="T69" s="244"/>
      <c r="U69" s="244"/>
    </row>
    <row r="70" spans="2:21" ht="12.5">
      <c r="B70" s="145" t="str">
        <f t="shared" si="6"/>
        <v/>
      </c>
      <c r="C70" s="496">
        <f>IF(D11="","-",+C69+1)</f>
        <v>2063</v>
      </c>
      <c r="D70" s="509">
        <f>IF(F69+SUM(E$17:E69)=D$10,F69,D$10-SUM(E$17:E69))</f>
        <v>0</v>
      </c>
      <c r="E70" s="510">
        <f>IF(+I14&lt;F69,I14,D70)</f>
        <v>0</v>
      </c>
      <c r="F70" s="511">
        <f t="shared" si="22"/>
        <v>0</v>
      </c>
      <c r="G70" s="524">
        <f t="shared" si="20"/>
        <v>0</v>
      </c>
      <c r="H70" s="478">
        <f t="shared" si="21"/>
        <v>0</v>
      </c>
      <c r="I70" s="501">
        <f t="shared" si="23"/>
        <v>0</v>
      </c>
      <c r="J70" s="501"/>
      <c r="K70" s="513"/>
      <c r="L70" s="505">
        <f t="shared" si="24"/>
        <v>0</v>
      </c>
      <c r="M70" s="513"/>
      <c r="N70" s="505">
        <f t="shared" si="25"/>
        <v>0</v>
      </c>
      <c r="O70" s="505">
        <f t="shared" si="26"/>
        <v>0</v>
      </c>
      <c r="P70" s="279"/>
      <c r="R70" s="244"/>
      <c r="S70" s="244"/>
      <c r="T70" s="244"/>
      <c r="U70" s="244"/>
    </row>
    <row r="71" spans="2:21" ht="12.5">
      <c r="B71" s="145" t="str">
        <f t="shared" si="6"/>
        <v/>
      </c>
      <c r="C71" s="496">
        <f>IF(D11="","-",+C70+1)</f>
        <v>2064</v>
      </c>
      <c r="D71" s="509">
        <f>IF(F70+SUM(E$17:E70)=D$10,F70,D$10-SUM(E$17:E70))</f>
        <v>0</v>
      </c>
      <c r="E71" s="510">
        <f>IF(+I14&lt;F70,I14,D71)</f>
        <v>0</v>
      </c>
      <c r="F71" s="511">
        <f t="shared" si="22"/>
        <v>0</v>
      </c>
      <c r="G71" s="524">
        <f t="shared" si="20"/>
        <v>0</v>
      </c>
      <c r="H71" s="478">
        <f t="shared" si="21"/>
        <v>0</v>
      </c>
      <c r="I71" s="501">
        <f t="shared" si="23"/>
        <v>0</v>
      </c>
      <c r="J71" s="501"/>
      <c r="K71" s="513"/>
      <c r="L71" s="505">
        <f t="shared" si="24"/>
        <v>0</v>
      </c>
      <c r="M71" s="513"/>
      <c r="N71" s="505">
        <f t="shared" si="25"/>
        <v>0</v>
      </c>
      <c r="O71" s="505">
        <f t="shared" si="26"/>
        <v>0</v>
      </c>
      <c r="P71" s="279"/>
      <c r="R71" s="244"/>
      <c r="S71" s="244"/>
      <c r="T71" s="244"/>
      <c r="U71" s="244"/>
    </row>
    <row r="72" spans="2:21" ht="12.5">
      <c r="B72" s="145" t="str">
        <f t="shared" si="6"/>
        <v/>
      </c>
      <c r="C72" s="496">
        <f>IF(D11="","-",+C71+1)</f>
        <v>2065</v>
      </c>
      <c r="D72" s="509">
        <f>IF(F71+SUM(E$17:E71)=D$10,F71,D$10-SUM(E$17:E71))</f>
        <v>0</v>
      </c>
      <c r="E72" s="510">
        <f>IF(+I14&lt;F71,I14,D72)</f>
        <v>0</v>
      </c>
      <c r="F72" s="511">
        <f t="shared" si="22"/>
        <v>0</v>
      </c>
      <c r="G72" s="524">
        <f t="shared" si="20"/>
        <v>0</v>
      </c>
      <c r="H72" s="478">
        <f t="shared" si="21"/>
        <v>0</v>
      </c>
      <c r="I72" s="501">
        <f t="shared" si="23"/>
        <v>0</v>
      </c>
      <c r="J72" s="501"/>
      <c r="K72" s="513"/>
      <c r="L72" s="505">
        <f t="shared" si="24"/>
        <v>0</v>
      </c>
      <c r="M72" s="513"/>
      <c r="N72" s="505">
        <f t="shared" si="25"/>
        <v>0</v>
      </c>
      <c r="O72" s="505">
        <f t="shared" si="26"/>
        <v>0</v>
      </c>
      <c r="P72" s="279"/>
      <c r="R72" s="244"/>
      <c r="S72" s="244"/>
      <c r="T72" s="244"/>
      <c r="U72" s="244"/>
    </row>
    <row r="73" spans="2:21" ht="13" thickBot="1">
      <c r="B73" s="145" t="str">
        <f t="shared" si="6"/>
        <v/>
      </c>
      <c r="C73" s="525">
        <f>IF(D11="","-",+C72+1)</f>
        <v>2066</v>
      </c>
      <c r="D73" s="526">
        <f>IF(F72+SUM(E$17:E72)=D$10,F72,D$10-SUM(E$17:E72))</f>
        <v>0</v>
      </c>
      <c r="E73" s="527">
        <f>IF(+I14&lt;F72,I14,D73)</f>
        <v>0</v>
      </c>
      <c r="F73" s="528">
        <f t="shared" si="22"/>
        <v>0</v>
      </c>
      <c r="G73" s="529">
        <f t="shared" si="20"/>
        <v>0</v>
      </c>
      <c r="H73" s="459">
        <f t="shared" si="21"/>
        <v>0</v>
      </c>
      <c r="I73" s="530">
        <f t="shared" si="23"/>
        <v>0</v>
      </c>
      <c r="J73" s="501"/>
      <c r="K73" s="531"/>
      <c r="L73" s="532">
        <f t="shared" si="24"/>
        <v>0</v>
      </c>
      <c r="M73" s="531"/>
      <c r="N73" s="532">
        <f t="shared" si="25"/>
        <v>0</v>
      </c>
      <c r="O73" s="532">
        <f t="shared" si="26"/>
        <v>0</v>
      </c>
      <c r="P73" s="279"/>
      <c r="R73" s="244"/>
      <c r="S73" s="244"/>
      <c r="T73" s="244"/>
      <c r="U73" s="244"/>
    </row>
    <row r="74" spans="2:21" ht="12.5">
      <c r="C74" s="350" t="s">
        <v>75</v>
      </c>
      <c r="D74" s="295"/>
      <c r="E74" s="295">
        <f>SUM(E17:E73)</f>
        <v>985776.99999999977</v>
      </c>
      <c r="F74" s="295"/>
      <c r="G74" s="295">
        <f>SUM(G17:G73)</f>
        <v>3181070.8714672327</v>
      </c>
      <c r="H74" s="295">
        <f>SUM(H17:H73)</f>
        <v>3181070.8714672327</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2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110042.1845135639</v>
      </c>
      <c r="N88" s="545">
        <f>IF(J93&lt;D11,0,VLOOKUP(J93,C17:O73,11))</f>
        <v>110042.1845135639</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122326.40179536593</v>
      </c>
      <c r="N89" s="549">
        <f>IF(J93&lt;D11,0,VLOOKUP(J93,C100:P155,7))</f>
        <v>122326.40179536593</v>
      </c>
      <c r="O89" s="550">
        <f>+N89-M89</f>
        <v>0</v>
      </c>
      <c r="P89" s="244"/>
      <c r="Q89" s="244"/>
      <c r="R89" s="244"/>
      <c r="S89" s="244"/>
      <c r="T89" s="244"/>
      <c r="U89" s="244"/>
    </row>
    <row r="90" spans="1:21" ht="13.5" thickBot="1">
      <c r="C90" s="455" t="s">
        <v>82</v>
      </c>
      <c r="D90" s="551" t="str">
        <f>+D7</f>
        <v>Coffeyville T to Dearing 138 kV Rebuild - 1.1 miles</v>
      </c>
      <c r="E90" s="244"/>
      <c r="F90" s="244"/>
      <c r="G90" s="244"/>
      <c r="H90" s="244"/>
      <c r="I90" s="326"/>
      <c r="J90" s="326"/>
      <c r="K90" s="552"/>
      <c r="L90" s="553" t="s">
        <v>135</v>
      </c>
      <c r="M90" s="554">
        <f>+M89-M88</f>
        <v>12284.217281802034</v>
      </c>
      <c r="N90" s="554">
        <f>+N89-N88</f>
        <v>12284.217281802034</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TP2008013</v>
      </c>
      <c r="E92" s="559"/>
      <c r="F92" s="559"/>
      <c r="G92" s="559"/>
      <c r="H92" s="559"/>
      <c r="I92" s="559"/>
      <c r="J92" s="559"/>
      <c r="K92" s="561"/>
      <c r="P92" s="469"/>
      <c r="Q92" s="244"/>
      <c r="R92" s="244"/>
      <c r="S92" s="244"/>
      <c r="T92" s="244"/>
      <c r="U92" s="244"/>
    </row>
    <row r="93" spans="1:21" ht="13">
      <c r="C93" s="473" t="s">
        <v>49</v>
      </c>
      <c r="D93" s="471">
        <f>IF(D11=I10,0,D10)</f>
        <v>985777</v>
      </c>
      <c r="E93" s="249" t="s">
        <v>84</v>
      </c>
      <c r="H93" s="409"/>
      <c r="I93" s="409"/>
      <c r="J93" s="472">
        <f>+'OKT.WS.G.BPU.ATRR.True-up'!M16</f>
        <v>2023</v>
      </c>
      <c r="K93" s="468"/>
      <c r="L93" s="295" t="s">
        <v>85</v>
      </c>
      <c r="P93" s="279"/>
      <c r="Q93" s="244"/>
      <c r="R93" s="244"/>
      <c r="S93" s="244"/>
      <c r="T93" s="244"/>
      <c r="U93" s="244"/>
    </row>
    <row r="94" spans="1:21" ht="12.5">
      <c r="C94" s="473" t="s">
        <v>52</v>
      </c>
      <c r="D94" s="562">
        <f>IF(D11=I10,"",D11)</f>
        <v>2010</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83">
        <f>IF(D11=I10,"",D12)</f>
        <v>6</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51883</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55" si="27">IF(D100=F99,"","IU")</f>
        <v>IU</v>
      </c>
      <c r="C100" s="496">
        <f>IF(D94= "","-",D94)</f>
        <v>2010</v>
      </c>
      <c r="D100" s="497">
        <v>0</v>
      </c>
      <c r="E100" s="499">
        <v>8464.310344827587</v>
      </c>
      <c r="F100" s="506">
        <v>973395.68965517241</v>
      </c>
      <c r="G100" s="572">
        <v>486697.8448275862</v>
      </c>
      <c r="H100" s="572">
        <v>173914.12278230567</v>
      </c>
      <c r="I100" s="572">
        <v>173914.12278230567</v>
      </c>
      <c r="J100" s="505">
        <f t="shared" ref="J100:J131" si="28">+I100-H100</f>
        <v>0</v>
      </c>
      <c r="K100" s="505"/>
      <c r="L100" s="507">
        <f t="shared" ref="L100:L105" si="29">H100</f>
        <v>173914.12278230567</v>
      </c>
      <c r="M100" s="508">
        <f>IF(L100&lt;&gt;0,+H100-L100,0)</f>
        <v>0</v>
      </c>
      <c r="N100" s="507">
        <f t="shared" ref="N100:N105" si="30">I100</f>
        <v>173914.12278230567</v>
      </c>
      <c r="O100" s="504">
        <f t="shared" ref="O100:O131" si="31">IF(N100&lt;&gt;0,+I100-N100,0)</f>
        <v>0</v>
      </c>
      <c r="P100" s="504">
        <f t="shared" ref="P100:P131" si="32">+O100-M100</f>
        <v>0</v>
      </c>
      <c r="Q100" s="244"/>
      <c r="R100" s="244"/>
      <c r="S100" s="244"/>
      <c r="T100" s="244"/>
      <c r="U100" s="244"/>
    </row>
    <row r="101" spans="1:21" ht="12.5">
      <c r="B101" s="145" t="str">
        <f t="shared" si="27"/>
        <v/>
      </c>
      <c r="C101" s="496">
        <f>IF(D94="","-",+C100+1)</f>
        <v>2011</v>
      </c>
      <c r="D101" s="497">
        <v>973395.68965517241</v>
      </c>
      <c r="E101" s="499">
        <v>16996.161034482757</v>
      </c>
      <c r="F101" s="506">
        <v>956399.52862068964</v>
      </c>
      <c r="G101" s="506">
        <v>964897.60913793102</v>
      </c>
      <c r="H101" s="499">
        <v>88738.637904978968</v>
      </c>
      <c r="I101" s="500">
        <v>88738.637904978968</v>
      </c>
      <c r="J101" s="505">
        <v>0</v>
      </c>
      <c r="K101" s="505"/>
      <c r="L101" s="507">
        <f t="shared" si="29"/>
        <v>88738.637904978968</v>
      </c>
      <c r="M101" s="505">
        <f t="shared" ref="M101:M131" si="33">IF(L101&lt;&gt;0,+H101-L101,0)</f>
        <v>0</v>
      </c>
      <c r="N101" s="507">
        <f t="shared" si="30"/>
        <v>88738.637904978968</v>
      </c>
      <c r="O101" s="505">
        <f t="shared" si="31"/>
        <v>0</v>
      </c>
      <c r="P101" s="505">
        <f t="shared" si="32"/>
        <v>0</v>
      </c>
      <c r="Q101" s="244"/>
      <c r="R101" s="244"/>
      <c r="S101" s="244"/>
      <c r="T101" s="244"/>
      <c r="U101" s="244"/>
    </row>
    <row r="102" spans="1:21" ht="12.5">
      <c r="B102" s="145" t="str">
        <f t="shared" si="27"/>
        <v>IU</v>
      </c>
      <c r="C102" s="496">
        <f>IF(D94="","-",+C101+1)</f>
        <v>2012</v>
      </c>
      <c r="D102" s="497">
        <v>960316.86862068961</v>
      </c>
      <c r="E102" s="499">
        <v>16996.161034482757</v>
      </c>
      <c r="F102" s="506">
        <v>943320.70758620685</v>
      </c>
      <c r="G102" s="506">
        <v>951818.78810344823</v>
      </c>
      <c r="H102" s="499">
        <v>113462.4664066085</v>
      </c>
      <c r="I102" s="500">
        <v>113462.4664066085</v>
      </c>
      <c r="J102" s="505">
        <v>0</v>
      </c>
      <c r="K102" s="505"/>
      <c r="L102" s="507">
        <f t="shared" si="29"/>
        <v>113462.4664066085</v>
      </c>
      <c r="M102" s="505">
        <f t="shared" ref="M102:M107" si="34">IF(L102&lt;&gt;0,+H102-L102,0)</f>
        <v>0</v>
      </c>
      <c r="N102" s="507">
        <f t="shared" si="30"/>
        <v>113462.4664066085</v>
      </c>
      <c r="O102" s="505">
        <f>IF(N102&lt;&gt;0,+I102-N102,0)</f>
        <v>0</v>
      </c>
      <c r="P102" s="505">
        <f>+O102-M102</f>
        <v>0</v>
      </c>
      <c r="Q102" s="244"/>
      <c r="R102" s="244"/>
      <c r="S102" s="244"/>
      <c r="T102" s="244"/>
      <c r="U102" s="244"/>
    </row>
    <row r="103" spans="1:21" ht="12.5">
      <c r="B103" s="145" t="str">
        <f t="shared" si="27"/>
        <v/>
      </c>
      <c r="C103" s="496">
        <f>IF(D94="","-",+C102+1)</f>
        <v>2013</v>
      </c>
      <c r="D103" s="497">
        <v>943320.70758620685</v>
      </c>
      <c r="E103" s="499">
        <v>16996.161034482757</v>
      </c>
      <c r="F103" s="506">
        <v>926324.54655172408</v>
      </c>
      <c r="G103" s="506">
        <v>934822.62706896546</v>
      </c>
      <c r="H103" s="499">
        <v>123248.05893507614</v>
      </c>
      <c r="I103" s="500">
        <v>123248.05893507614</v>
      </c>
      <c r="J103" s="505">
        <v>0</v>
      </c>
      <c r="K103" s="505"/>
      <c r="L103" s="507">
        <f t="shared" si="29"/>
        <v>123248.05893507614</v>
      </c>
      <c r="M103" s="505">
        <f t="shared" si="34"/>
        <v>0</v>
      </c>
      <c r="N103" s="507">
        <f t="shared" si="30"/>
        <v>123248.05893507614</v>
      </c>
      <c r="O103" s="505">
        <f>IF(N103&lt;&gt;0,+I103-N103,0)</f>
        <v>0</v>
      </c>
      <c r="P103" s="505">
        <f>+O103-M103</f>
        <v>0</v>
      </c>
      <c r="Q103" s="244"/>
      <c r="R103" s="244"/>
      <c r="S103" s="244"/>
      <c r="T103" s="244"/>
      <c r="U103" s="244"/>
    </row>
    <row r="104" spans="1:21" ht="12.5">
      <c r="B104" s="145" t="str">
        <f t="shared" si="27"/>
        <v/>
      </c>
      <c r="C104" s="496">
        <f>IF(D94="","-",+C103+1)</f>
        <v>2014</v>
      </c>
      <c r="D104" s="497">
        <v>926324.54655172408</v>
      </c>
      <c r="E104" s="499">
        <v>16996.161034482757</v>
      </c>
      <c r="F104" s="506">
        <v>909328.38551724132</v>
      </c>
      <c r="G104" s="506">
        <v>917826.4660344827</v>
      </c>
      <c r="H104" s="499">
        <v>115702.36527195803</v>
      </c>
      <c r="I104" s="500">
        <v>115702.36527195803</v>
      </c>
      <c r="J104" s="505">
        <v>0</v>
      </c>
      <c r="K104" s="505"/>
      <c r="L104" s="507">
        <f t="shared" si="29"/>
        <v>115702.36527195803</v>
      </c>
      <c r="M104" s="505">
        <f t="shared" si="34"/>
        <v>0</v>
      </c>
      <c r="N104" s="507">
        <f t="shared" si="30"/>
        <v>115702.36527195803</v>
      </c>
      <c r="O104" s="505">
        <f>IF(N104&lt;&gt;0,+I104-N104,0)</f>
        <v>0</v>
      </c>
      <c r="P104" s="505">
        <f>+O104-M104</f>
        <v>0</v>
      </c>
      <c r="Q104" s="244"/>
      <c r="R104" s="244"/>
      <c r="S104" s="244"/>
      <c r="T104" s="244"/>
      <c r="U104" s="244"/>
    </row>
    <row r="105" spans="1:21" ht="12.5">
      <c r="B105" s="145" t="str">
        <f t="shared" si="27"/>
        <v/>
      </c>
      <c r="C105" s="496">
        <f>IF(D94="","-",+C104+1)</f>
        <v>2015</v>
      </c>
      <c r="D105" s="497">
        <v>909328.38551724132</v>
      </c>
      <c r="E105" s="499">
        <v>20537.027916666666</v>
      </c>
      <c r="F105" s="506">
        <v>888791.35760057461</v>
      </c>
      <c r="G105" s="506">
        <v>899059.87155890791</v>
      </c>
      <c r="H105" s="499">
        <v>120628.84968807173</v>
      </c>
      <c r="I105" s="500">
        <v>120628.84968807173</v>
      </c>
      <c r="J105" s="505">
        <f t="shared" si="28"/>
        <v>0</v>
      </c>
      <c r="K105" s="505"/>
      <c r="L105" s="507">
        <f t="shared" si="29"/>
        <v>120628.84968807173</v>
      </c>
      <c r="M105" s="505">
        <f t="shared" si="34"/>
        <v>0</v>
      </c>
      <c r="N105" s="507">
        <f t="shared" si="30"/>
        <v>120628.84968807173</v>
      </c>
      <c r="O105" s="505">
        <f t="shared" si="31"/>
        <v>0</v>
      </c>
      <c r="P105" s="505">
        <f t="shared" si="32"/>
        <v>0</v>
      </c>
      <c r="Q105" s="244"/>
      <c r="R105" s="244"/>
      <c r="S105" s="244"/>
      <c r="T105" s="244"/>
      <c r="U105" s="244"/>
    </row>
    <row r="106" spans="1:21" ht="12.5">
      <c r="B106" s="145" t="str">
        <f t="shared" si="27"/>
        <v/>
      </c>
      <c r="C106" s="496">
        <f>IF(D94="","-",+C105+1)</f>
        <v>2016</v>
      </c>
      <c r="D106" s="497">
        <v>888791.35760057461</v>
      </c>
      <c r="E106" s="499">
        <v>19328.967450980392</v>
      </c>
      <c r="F106" s="506">
        <v>869462.39014959417</v>
      </c>
      <c r="G106" s="506">
        <v>879126.87387508433</v>
      </c>
      <c r="H106" s="499">
        <v>114599.47152988262</v>
      </c>
      <c r="I106" s="500">
        <v>114599.47152988262</v>
      </c>
      <c r="J106" s="505">
        <f t="shared" si="28"/>
        <v>0</v>
      </c>
      <c r="K106" s="505"/>
      <c r="L106" s="507">
        <f t="shared" ref="L106:L111" si="35">H106</f>
        <v>114599.47152988262</v>
      </c>
      <c r="M106" s="505">
        <f t="shared" si="34"/>
        <v>0</v>
      </c>
      <c r="N106" s="507">
        <f t="shared" ref="N106:N111" si="36">I106</f>
        <v>114599.47152988262</v>
      </c>
      <c r="O106" s="505">
        <f>IF(N106&lt;&gt;0,+I106-N106,0)</f>
        <v>0</v>
      </c>
      <c r="P106" s="505">
        <f>+O106-M106</f>
        <v>0</v>
      </c>
      <c r="Q106" s="244"/>
      <c r="R106" s="244"/>
      <c r="S106" s="244"/>
      <c r="T106" s="244"/>
      <c r="U106" s="244"/>
    </row>
    <row r="107" spans="1:21" ht="12.5">
      <c r="B107" s="145" t="str">
        <f t="shared" si="27"/>
        <v/>
      </c>
      <c r="C107" s="496">
        <f>IF(D94="","-",+C106+1)</f>
        <v>2017</v>
      </c>
      <c r="D107" s="497">
        <v>869462.39014959417</v>
      </c>
      <c r="E107" s="499">
        <v>24644.433499999999</v>
      </c>
      <c r="F107" s="506">
        <v>844817.95664959413</v>
      </c>
      <c r="G107" s="506">
        <v>857140.17339959415</v>
      </c>
      <c r="H107" s="499">
        <v>125217.71649626724</v>
      </c>
      <c r="I107" s="500">
        <v>125217.71649626724</v>
      </c>
      <c r="J107" s="505">
        <f t="shared" si="28"/>
        <v>0</v>
      </c>
      <c r="K107" s="505"/>
      <c r="L107" s="507">
        <f t="shared" si="35"/>
        <v>125217.71649626724</v>
      </c>
      <c r="M107" s="505">
        <f t="shared" si="34"/>
        <v>0</v>
      </c>
      <c r="N107" s="507">
        <f t="shared" si="36"/>
        <v>125217.71649626724</v>
      </c>
      <c r="O107" s="505">
        <f>IF(N107&lt;&gt;0,+I107-N107,0)</f>
        <v>0</v>
      </c>
      <c r="P107" s="505">
        <f>+O107-M107</f>
        <v>0</v>
      </c>
      <c r="Q107" s="244"/>
      <c r="R107" s="244"/>
      <c r="S107" s="244"/>
      <c r="T107" s="244"/>
      <c r="U107" s="244"/>
    </row>
    <row r="108" spans="1:21" ht="12.5">
      <c r="B108" s="145" t="str">
        <f t="shared" si="27"/>
        <v/>
      </c>
      <c r="C108" s="496">
        <f>IF(D94="","-",+C107+1)</f>
        <v>2018</v>
      </c>
      <c r="D108" s="497">
        <v>844817.95664959413</v>
      </c>
      <c r="E108" s="499">
        <v>27382.703888888889</v>
      </c>
      <c r="F108" s="506">
        <v>817435.25276070519</v>
      </c>
      <c r="G108" s="506">
        <v>831126.60470514966</v>
      </c>
      <c r="H108" s="499">
        <v>115118.46379296975</v>
      </c>
      <c r="I108" s="500">
        <v>115118.46379296975</v>
      </c>
      <c r="J108" s="505">
        <f t="shared" si="28"/>
        <v>0</v>
      </c>
      <c r="K108" s="505"/>
      <c r="L108" s="507">
        <f t="shared" si="35"/>
        <v>115118.46379296975</v>
      </c>
      <c r="M108" s="505">
        <f t="shared" ref="M108" si="37">IF(L108&lt;&gt;0,+H108-L108,0)</f>
        <v>0</v>
      </c>
      <c r="N108" s="507">
        <f t="shared" si="36"/>
        <v>115118.46379296975</v>
      </c>
      <c r="O108" s="505">
        <f>IF(N108&lt;&gt;0,+I108-N108,0)</f>
        <v>0</v>
      </c>
      <c r="P108" s="505">
        <f>+O108-M108</f>
        <v>0</v>
      </c>
      <c r="Q108" s="244"/>
      <c r="R108" s="244"/>
      <c r="S108" s="244"/>
      <c r="T108" s="244"/>
      <c r="U108" s="244"/>
    </row>
    <row r="109" spans="1:21" ht="12.5">
      <c r="B109" s="145" t="str">
        <f t="shared" si="27"/>
        <v/>
      </c>
      <c r="C109" s="496">
        <f>IF(D94="","-",+C108+1)</f>
        <v>2019</v>
      </c>
      <c r="D109" s="497">
        <v>817435.25276070519</v>
      </c>
      <c r="E109" s="499">
        <v>27382.703888888889</v>
      </c>
      <c r="F109" s="506">
        <v>790052.54887181625</v>
      </c>
      <c r="G109" s="506">
        <v>803743.90081626072</v>
      </c>
      <c r="H109" s="499">
        <v>112227.87850750366</v>
      </c>
      <c r="I109" s="500">
        <v>112227.87850750366</v>
      </c>
      <c r="J109" s="505">
        <f t="shared" si="28"/>
        <v>0</v>
      </c>
      <c r="K109" s="505"/>
      <c r="L109" s="507">
        <f t="shared" si="35"/>
        <v>112227.87850750366</v>
      </c>
      <c r="M109" s="505">
        <f t="shared" ref="M109" si="38">IF(L109&lt;&gt;0,+H109-L109,0)</f>
        <v>0</v>
      </c>
      <c r="N109" s="507">
        <f t="shared" si="36"/>
        <v>112227.87850750366</v>
      </c>
      <c r="O109" s="505">
        <f>IF(N109&lt;&gt;0,+I109-N109,0)</f>
        <v>0</v>
      </c>
      <c r="P109" s="505">
        <f t="shared" si="32"/>
        <v>0</v>
      </c>
      <c r="Q109" s="244"/>
      <c r="R109" s="244"/>
      <c r="S109" s="244"/>
      <c r="T109" s="244"/>
      <c r="U109" s="244"/>
    </row>
    <row r="110" spans="1:21" ht="12.5">
      <c r="B110" s="145" t="str">
        <f t="shared" si="27"/>
        <v/>
      </c>
      <c r="C110" s="496">
        <f>IF(D94="","-",+C109+1)</f>
        <v>2020</v>
      </c>
      <c r="D110" s="497">
        <v>790052.54887181625</v>
      </c>
      <c r="E110" s="499">
        <v>35206.333571428571</v>
      </c>
      <c r="F110" s="506">
        <v>754846.2153003877</v>
      </c>
      <c r="G110" s="506">
        <v>772449.38208610192</v>
      </c>
      <c r="H110" s="499">
        <v>117405.37509665726</v>
      </c>
      <c r="I110" s="500">
        <v>117405.37509665726</v>
      </c>
      <c r="J110" s="505">
        <f t="shared" si="28"/>
        <v>0</v>
      </c>
      <c r="K110" s="505"/>
      <c r="L110" s="507">
        <f t="shared" si="35"/>
        <v>117405.37509665726</v>
      </c>
      <c r="M110" s="505">
        <f t="shared" ref="M110" si="39">IF(L110&lt;&gt;0,+H110-L110,0)</f>
        <v>0</v>
      </c>
      <c r="N110" s="507">
        <f t="shared" si="36"/>
        <v>117405.37509665726</v>
      </c>
      <c r="O110" s="505">
        <f t="shared" si="31"/>
        <v>0</v>
      </c>
      <c r="P110" s="505">
        <f t="shared" si="32"/>
        <v>0</v>
      </c>
      <c r="Q110" s="244"/>
      <c r="R110" s="244"/>
      <c r="S110" s="244"/>
      <c r="T110" s="244"/>
      <c r="U110" s="244"/>
    </row>
    <row r="111" spans="1:21" ht="12.5">
      <c r="B111" s="145" t="str">
        <f t="shared" si="27"/>
        <v/>
      </c>
      <c r="C111" s="496">
        <f>IF(D94="","-",+C110+1)</f>
        <v>2021</v>
      </c>
      <c r="D111" s="497">
        <v>754846.2153003877</v>
      </c>
      <c r="E111" s="499">
        <v>39431.0936</v>
      </c>
      <c r="F111" s="506">
        <v>715415.12170038768</v>
      </c>
      <c r="G111" s="506">
        <v>735130.66850038769</v>
      </c>
      <c r="H111" s="499">
        <v>126148.58717460747</v>
      </c>
      <c r="I111" s="500">
        <v>126148.58717460747</v>
      </c>
      <c r="J111" s="505">
        <f t="shared" si="28"/>
        <v>0</v>
      </c>
      <c r="K111" s="505"/>
      <c r="L111" s="507">
        <f t="shared" si="35"/>
        <v>126148.58717460747</v>
      </c>
      <c r="M111" s="505">
        <f t="shared" ref="M111" si="40">IF(L111&lt;&gt;0,+H111-L111,0)</f>
        <v>0</v>
      </c>
      <c r="N111" s="507">
        <f t="shared" si="36"/>
        <v>126148.58717460747</v>
      </c>
      <c r="O111" s="505">
        <f t="shared" si="31"/>
        <v>0</v>
      </c>
      <c r="P111" s="505">
        <f t="shared" si="32"/>
        <v>0</v>
      </c>
      <c r="Q111" s="244"/>
      <c r="R111" s="244"/>
      <c r="S111" s="244"/>
      <c r="T111" s="244"/>
      <c r="U111" s="244"/>
    </row>
    <row r="112" spans="1:21" ht="12.5">
      <c r="B112" s="145" t="str">
        <f t="shared" si="27"/>
        <v/>
      </c>
      <c r="C112" s="496">
        <f>IF(D94="","-",+C111+1)</f>
        <v>2022</v>
      </c>
      <c r="D112" s="497">
        <v>715415.12170038768</v>
      </c>
      <c r="E112" s="499">
        <v>46941.778095238093</v>
      </c>
      <c r="F112" s="506">
        <v>668473.34360514954</v>
      </c>
      <c r="G112" s="506">
        <v>691944.23265276861</v>
      </c>
      <c r="H112" s="499">
        <v>126491.84981530069</v>
      </c>
      <c r="I112" s="500">
        <v>126491.84981530069</v>
      </c>
      <c r="J112" s="505">
        <f t="shared" si="28"/>
        <v>0</v>
      </c>
      <c r="K112" s="505"/>
      <c r="L112" s="507">
        <f t="shared" ref="L112" si="41">H112</f>
        <v>126491.84981530069</v>
      </c>
      <c r="M112" s="505">
        <f t="shared" ref="M112" si="42">IF(L112&lt;&gt;0,+H112-L112,0)</f>
        <v>0</v>
      </c>
      <c r="N112" s="507">
        <f t="shared" ref="N112" si="43">I112</f>
        <v>126491.84981530069</v>
      </c>
      <c r="O112" s="505">
        <f t="shared" ref="O112" si="44">IF(N112&lt;&gt;0,+I112-N112,0)</f>
        <v>0</v>
      </c>
      <c r="P112" s="505">
        <f t="shared" ref="P112" si="45">+O112-M112</f>
        <v>0</v>
      </c>
      <c r="Q112" s="244"/>
      <c r="R112" s="244"/>
      <c r="S112" s="244"/>
      <c r="T112" s="244"/>
      <c r="U112" s="244"/>
    </row>
    <row r="113" spans="2:21" ht="12.5">
      <c r="B113" s="145" t="str">
        <f t="shared" si="27"/>
        <v>IU</v>
      </c>
      <c r="C113" s="496">
        <f>IF(D94="","-",+C112+1)</f>
        <v>2023</v>
      </c>
      <c r="D113" s="350">
        <f>IF(F112+SUM(E$100:E112)=D$93,F112,D$93-SUM(E$100:E112))</f>
        <v>668473.00360514992</v>
      </c>
      <c r="E113" s="510">
        <f>IF(+J97&lt;F112,J97,D113)</f>
        <v>51883</v>
      </c>
      <c r="F113" s="511">
        <f t="shared" ref="F113:F131" si="46">+D113-E113</f>
        <v>616590.00360514992</v>
      </c>
      <c r="G113" s="511">
        <f t="shared" ref="G113:G131" si="47">+(F113+D113)/2</f>
        <v>642531.50360514992</v>
      </c>
      <c r="H113" s="645">
        <f t="shared" ref="H113:H155" si="48">(D113+F113)/2*J$95+E113</f>
        <v>122326.40179536593</v>
      </c>
      <c r="I113" s="573">
        <f t="shared" ref="I113:I155" si="49">+J$96*G113+E113</f>
        <v>122326.40179536593</v>
      </c>
      <c r="J113" s="505">
        <f t="shared" si="28"/>
        <v>0</v>
      </c>
      <c r="K113" s="505"/>
      <c r="L113" s="513"/>
      <c r="M113" s="505">
        <f t="shared" si="33"/>
        <v>0</v>
      </c>
      <c r="N113" s="513"/>
      <c r="O113" s="505">
        <f t="shared" si="31"/>
        <v>0</v>
      </c>
      <c r="P113" s="505">
        <f t="shared" si="32"/>
        <v>0</v>
      </c>
      <c r="Q113" s="244"/>
      <c r="R113" s="244"/>
      <c r="S113" s="244"/>
      <c r="T113" s="244"/>
      <c r="U113" s="244"/>
    </row>
    <row r="114" spans="2:21" ht="12.5">
      <c r="B114" s="145" t="str">
        <f t="shared" si="27"/>
        <v/>
      </c>
      <c r="C114" s="496">
        <f>IF(D94="","-",+C113+1)</f>
        <v>2024</v>
      </c>
      <c r="D114" s="350">
        <f>IF(F113+SUM(E$100:E113)=D$93,F113,D$93-SUM(E$100:E113))</f>
        <v>616590.00360514992</v>
      </c>
      <c r="E114" s="510">
        <f>IF(+J97&lt;F113,J97,D114)</f>
        <v>51883</v>
      </c>
      <c r="F114" s="511">
        <f t="shared" si="46"/>
        <v>564707.00360514992</v>
      </c>
      <c r="G114" s="511">
        <f t="shared" si="47"/>
        <v>590648.50360514992</v>
      </c>
      <c r="H114" s="645">
        <f t="shared" si="48"/>
        <v>116638.25266206689</v>
      </c>
      <c r="I114" s="573">
        <f t="shared" si="49"/>
        <v>116638.25266206689</v>
      </c>
      <c r="J114" s="505">
        <f t="shared" si="28"/>
        <v>0</v>
      </c>
      <c r="K114" s="505"/>
      <c r="L114" s="513"/>
      <c r="M114" s="505">
        <f t="shared" si="33"/>
        <v>0</v>
      </c>
      <c r="N114" s="513"/>
      <c r="O114" s="505">
        <f t="shared" si="31"/>
        <v>0</v>
      </c>
      <c r="P114" s="505">
        <f t="shared" si="32"/>
        <v>0</v>
      </c>
      <c r="Q114" s="244"/>
      <c r="R114" s="244"/>
      <c r="S114" s="244"/>
      <c r="T114" s="244"/>
      <c r="U114" s="244"/>
    </row>
    <row r="115" spans="2:21" ht="12.5">
      <c r="B115" s="145" t="str">
        <f t="shared" si="27"/>
        <v/>
      </c>
      <c r="C115" s="496">
        <f>IF(D94="","-",+C114+1)</f>
        <v>2025</v>
      </c>
      <c r="D115" s="350">
        <f>IF(F114+SUM(E$100:E114)=D$93,F114,D$93-SUM(E$100:E114))</f>
        <v>564707.00360514992</v>
      </c>
      <c r="E115" s="510">
        <f>IF(+J97&lt;F114,J97,D115)</f>
        <v>51883</v>
      </c>
      <c r="F115" s="511">
        <f t="shared" si="46"/>
        <v>512824.00360514992</v>
      </c>
      <c r="G115" s="511">
        <f t="shared" si="47"/>
        <v>538765.50360514992</v>
      </c>
      <c r="H115" s="645">
        <f t="shared" si="48"/>
        <v>110950.10352876782</v>
      </c>
      <c r="I115" s="573">
        <f t="shared" si="49"/>
        <v>110950.10352876782</v>
      </c>
      <c r="J115" s="505">
        <f t="shared" si="28"/>
        <v>0</v>
      </c>
      <c r="K115" s="505"/>
      <c r="L115" s="513"/>
      <c r="M115" s="505">
        <f t="shared" si="33"/>
        <v>0</v>
      </c>
      <c r="N115" s="513"/>
      <c r="O115" s="505">
        <f t="shared" si="31"/>
        <v>0</v>
      </c>
      <c r="P115" s="505">
        <f t="shared" si="32"/>
        <v>0</v>
      </c>
      <c r="Q115" s="244"/>
      <c r="R115" s="244"/>
      <c r="S115" s="244"/>
      <c r="T115" s="244"/>
      <c r="U115" s="244"/>
    </row>
    <row r="116" spans="2:21" ht="12.5">
      <c r="B116" s="145" t="str">
        <f t="shared" si="27"/>
        <v/>
      </c>
      <c r="C116" s="496">
        <f>IF(D94="","-",+C115+1)</f>
        <v>2026</v>
      </c>
      <c r="D116" s="350">
        <f>IF(F115+SUM(E$100:E115)=D$93,F115,D$93-SUM(E$100:E115))</f>
        <v>512824.00360514992</v>
      </c>
      <c r="E116" s="510">
        <f>IF(+J97&lt;F115,J97,D116)</f>
        <v>51883</v>
      </c>
      <c r="F116" s="511">
        <f t="shared" si="46"/>
        <v>460941.00360514992</v>
      </c>
      <c r="G116" s="511">
        <f t="shared" si="47"/>
        <v>486882.50360514992</v>
      </c>
      <c r="H116" s="645">
        <f t="shared" si="48"/>
        <v>105261.95439546878</v>
      </c>
      <c r="I116" s="573">
        <f t="shared" si="49"/>
        <v>105261.95439546878</v>
      </c>
      <c r="J116" s="505">
        <f t="shared" si="28"/>
        <v>0</v>
      </c>
      <c r="K116" s="505"/>
      <c r="L116" s="513"/>
      <c r="M116" s="505">
        <f t="shared" si="33"/>
        <v>0</v>
      </c>
      <c r="N116" s="513"/>
      <c r="O116" s="505">
        <f t="shared" si="31"/>
        <v>0</v>
      </c>
      <c r="P116" s="505">
        <f t="shared" si="32"/>
        <v>0</v>
      </c>
      <c r="Q116" s="244"/>
      <c r="R116" s="244"/>
      <c r="S116" s="244"/>
      <c r="T116" s="244"/>
      <c r="U116" s="244"/>
    </row>
    <row r="117" spans="2:21" ht="12.5">
      <c r="B117" s="145" t="str">
        <f t="shared" si="27"/>
        <v/>
      </c>
      <c r="C117" s="496">
        <f>IF(D94="","-",+C116+1)</f>
        <v>2027</v>
      </c>
      <c r="D117" s="350">
        <f>IF(F116+SUM(E$100:E116)=D$93,F116,D$93-SUM(E$100:E116))</f>
        <v>460941.00360514992</v>
      </c>
      <c r="E117" s="510">
        <f>IF(+J97&lt;F116,J97,D117)</f>
        <v>51883</v>
      </c>
      <c r="F117" s="511">
        <f t="shared" si="46"/>
        <v>409058.00360514992</v>
      </c>
      <c r="G117" s="511">
        <f t="shared" si="47"/>
        <v>434999.50360514992</v>
      </c>
      <c r="H117" s="645">
        <f t="shared" si="48"/>
        <v>99573.805262169728</v>
      </c>
      <c r="I117" s="573">
        <f t="shared" si="49"/>
        <v>99573.805262169728</v>
      </c>
      <c r="J117" s="505">
        <f t="shared" si="28"/>
        <v>0</v>
      </c>
      <c r="K117" s="505"/>
      <c r="L117" s="513"/>
      <c r="M117" s="505">
        <f t="shared" si="33"/>
        <v>0</v>
      </c>
      <c r="N117" s="513"/>
      <c r="O117" s="505">
        <f t="shared" si="31"/>
        <v>0</v>
      </c>
      <c r="P117" s="505">
        <f t="shared" si="32"/>
        <v>0</v>
      </c>
      <c r="Q117" s="244"/>
      <c r="R117" s="244"/>
      <c r="S117" s="244"/>
      <c r="T117" s="244"/>
      <c r="U117" s="244"/>
    </row>
    <row r="118" spans="2:21" ht="12.5">
      <c r="B118" s="145" t="str">
        <f t="shared" si="27"/>
        <v/>
      </c>
      <c r="C118" s="496">
        <f>IF(D94="","-",+C117+1)</f>
        <v>2028</v>
      </c>
      <c r="D118" s="350">
        <f>IF(F117+SUM(E$100:E117)=D$93,F117,D$93-SUM(E$100:E117))</f>
        <v>409058.00360514992</v>
      </c>
      <c r="E118" s="510">
        <f>IF(+J97&lt;F117,J97,D118)</f>
        <v>51883</v>
      </c>
      <c r="F118" s="511">
        <f t="shared" si="46"/>
        <v>357175.00360514992</v>
      </c>
      <c r="G118" s="511">
        <f t="shared" si="47"/>
        <v>383116.50360514992</v>
      </c>
      <c r="H118" s="645">
        <f t="shared" si="48"/>
        <v>93885.656128870673</v>
      </c>
      <c r="I118" s="573">
        <f t="shared" si="49"/>
        <v>93885.656128870673</v>
      </c>
      <c r="J118" s="505">
        <f t="shared" si="28"/>
        <v>0</v>
      </c>
      <c r="K118" s="505"/>
      <c r="L118" s="513"/>
      <c r="M118" s="505">
        <f t="shared" si="33"/>
        <v>0</v>
      </c>
      <c r="N118" s="513"/>
      <c r="O118" s="505">
        <f t="shared" si="31"/>
        <v>0</v>
      </c>
      <c r="P118" s="505">
        <f t="shared" si="32"/>
        <v>0</v>
      </c>
      <c r="Q118" s="244"/>
      <c r="R118" s="244"/>
      <c r="S118" s="244"/>
      <c r="T118" s="244"/>
      <c r="U118" s="244"/>
    </row>
    <row r="119" spans="2:21" ht="12.5">
      <c r="B119" s="145" t="str">
        <f t="shared" si="27"/>
        <v/>
      </c>
      <c r="C119" s="496">
        <f>IF(D94="","-",+C118+1)</f>
        <v>2029</v>
      </c>
      <c r="D119" s="350">
        <f>IF(F118+SUM(E$100:E118)=D$93,F118,D$93-SUM(E$100:E118))</f>
        <v>357175.00360514992</v>
      </c>
      <c r="E119" s="510">
        <f>IF(+J97&lt;F118,J97,D119)</f>
        <v>51883</v>
      </c>
      <c r="F119" s="511">
        <f t="shared" si="46"/>
        <v>305292.00360514992</v>
      </c>
      <c r="G119" s="511">
        <f t="shared" si="47"/>
        <v>331233.50360514992</v>
      </c>
      <c r="H119" s="645">
        <f t="shared" si="48"/>
        <v>88197.506995571617</v>
      </c>
      <c r="I119" s="573">
        <f t="shared" si="49"/>
        <v>88197.506995571617</v>
      </c>
      <c r="J119" s="505">
        <f t="shared" si="28"/>
        <v>0</v>
      </c>
      <c r="K119" s="505"/>
      <c r="L119" s="513"/>
      <c r="M119" s="505">
        <f t="shared" si="33"/>
        <v>0</v>
      </c>
      <c r="N119" s="513"/>
      <c r="O119" s="505">
        <f t="shared" si="31"/>
        <v>0</v>
      </c>
      <c r="P119" s="505">
        <f t="shared" si="32"/>
        <v>0</v>
      </c>
      <c r="Q119" s="244"/>
      <c r="R119" s="244"/>
      <c r="S119" s="244"/>
      <c r="T119" s="244"/>
      <c r="U119" s="244"/>
    </row>
    <row r="120" spans="2:21" ht="12.5">
      <c r="B120" s="145" t="str">
        <f t="shared" si="27"/>
        <v/>
      </c>
      <c r="C120" s="496">
        <f>IF(D94="","-",+C119+1)</f>
        <v>2030</v>
      </c>
      <c r="D120" s="350">
        <f>IF(F119+SUM(E$100:E119)=D$93,F119,D$93-SUM(E$100:E119))</f>
        <v>305292.00360514992</v>
      </c>
      <c r="E120" s="510">
        <f>IF(+J97&lt;F119,J97,D120)</f>
        <v>51883</v>
      </c>
      <c r="F120" s="511">
        <f t="shared" si="46"/>
        <v>253409.00360514992</v>
      </c>
      <c r="G120" s="511">
        <f t="shared" si="47"/>
        <v>279350.50360514992</v>
      </c>
      <c r="H120" s="645">
        <f t="shared" si="48"/>
        <v>82509.357862272562</v>
      </c>
      <c r="I120" s="573">
        <f t="shared" si="49"/>
        <v>82509.357862272562</v>
      </c>
      <c r="J120" s="505">
        <f t="shared" si="28"/>
        <v>0</v>
      </c>
      <c r="K120" s="505"/>
      <c r="L120" s="513"/>
      <c r="M120" s="505">
        <f t="shared" si="33"/>
        <v>0</v>
      </c>
      <c r="N120" s="513"/>
      <c r="O120" s="505">
        <f t="shared" si="31"/>
        <v>0</v>
      </c>
      <c r="P120" s="505">
        <f t="shared" si="32"/>
        <v>0</v>
      </c>
      <c r="Q120" s="244"/>
      <c r="R120" s="244"/>
      <c r="S120" s="244"/>
      <c r="T120" s="244"/>
      <c r="U120" s="244"/>
    </row>
    <row r="121" spans="2:21" ht="12.5">
      <c r="B121" s="145" t="str">
        <f t="shared" si="27"/>
        <v/>
      </c>
      <c r="C121" s="496">
        <f>IF(D94="","-",+C120+1)</f>
        <v>2031</v>
      </c>
      <c r="D121" s="350">
        <f>IF(F120+SUM(E$100:E120)=D$93,F120,D$93-SUM(E$100:E120))</f>
        <v>253409.00360514992</v>
      </c>
      <c r="E121" s="510">
        <f>IF(+J97&lt;F120,J97,D121)</f>
        <v>51883</v>
      </c>
      <c r="F121" s="511">
        <f t="shared" si="46"/>
        <v>201526.00360514992</v>
      </c>
      <c r="G121" s="511">
        <f t="shared" si="47"/>
        <v>227467.50360514992</v>
      </c>
      <c r="H121" s="645">
        <f t="shared" si="48"/>
        <v>76821.208728973521</v>
      </c>
      <c r="I121" s="573">
        <f t="shared" si="49"/>
        <v>76821.208728973521</v>
      </c>
      <c r="J121" s="505">
        <f t="shared" si="28"/>
        <v>0</v>
      </c>
      <c r="K121" s="505"/>
      <c r="L121" s="513"/>
      <c r="M121" s="505">
        <f t="shared" si="33"/>
        <v>0</v>
      </c>
      <c r="N121" s="513"/>
      <c r="O121" s="505">
        <f t="shared" si="31"/>
        <v>0</v>
      </c>
      <c r="P121" s="505">
        <f t="shared" si="32"/>
        <v>0</v>
      </c>
      <c r="Q121" s="244"/>
      <c r="R121" s="244"/>
      <c r="S121" s="244"/>
      <c r="T121" s="244"/>
      <c r="U121" s="244"/>
    </row>
    <row r="122" spans="2:21" ht="12.5">
      <c r="B122" s="145" t="str">
        <f t="shared" si="27"/>
        <v/>
      </c>
      <c r="C122" s="496">
        <f>IF(D94="","-",+C121+1)</f>
        <v>2032</v>
      </c>
      <c r="D122" s="350">
        <f>IF(F121+SUM(E$100:E121)=D$93,F121,D$93-SUM(E$100:E121))</f>
        <v>201526.00360514992</v>
      </c>
      <c r="E122" s="510">
        <f>IF(+J97&lt;F121,J97,D122)</f>
        <v>51883</v>
      </c>
      <c r="F122" s="511">
        <f t="shared" si="46"/>
        <v>149643.00360514992</v>
      </c>
      <c r="G122" s="511">
        <f t="shared" si="47"/>
        <v>175584.50360514992</v>
      </c>
      <c r="H122" s="645">
        <f t="shared" si="48"/>
        <v>71133.059595674451</v>
      </c>
      <c r="I122" s="573">
        <f t="shared" si="49"/>
        <v>71133.059595674451</v>
      </c>
      <c r="J122" s="505">
        <f t="shared" si="28"/>
        <v>0</v>
      </c>
      <c r="K122" s="505"/>
      <c r="L122" s="513"/>
      <c r="M122" s="505">
        <f t="shared" si="33"/>
        <v>0</v>
      </c>
      <c r="N122" s="513"/>
      <c r="O122" s="505">
        <f t="shared" si="31"/>
        <v>0</v>
      </c>
      <c r="P122" s="505">
        <f t="shared" si="32"/>
        <v>0</v>
      </c>
      <c r="Q122" s="244"/>
      <c r="R122" s="244"/>
      <c r="S122" s="244"/>
      <c r="T122" s="244"/>
      <c r="U122" s="244"/>
    </row>
    <row r="123" spans="2:21" ht="12.5">
      <c r="B123" s="145" t="str">
        <f t="shared" si="27"/>
        <v/>
      </c>
      <c r="C123" s="496">
        <f>IF(D94="","-",+C122+1)</f>
        <v>2033</v>
      </c>
      <c r="D123" s="350">
        <f>IF(F122+SUM(E$100:E122)=D$93,F122,D$93-SUM(E$100:E122))</f>
        <v>149643.00360514992</v>
      </c>
      <c r="E123" s="510">
        <f>IF(+J97&lt;F122,J97,D123)</f>
        <v>51883</v>
      </c>
      <c r="F123" s="511">
        <f t="shared" si="46"/>
        <v>97760.003605149919</v>
      </c>
      <c r="G123" s="511">
        <f t="shared" si="47"/>
        <v>123701.50360514992</v>
      </c>
      <c r="H123" s="645">
        <f t="shared" si="48"/>
        <v>65444.91046237541</v>
      </c>
      <c r="I123" s="573">
        <f t="shared" si="49"/>
        <v>65444.91046237541</v>
      </c>
      <c r="J123" s="505">
        <f t="shared" si="28"/>
        <v>0</v>
      </c>
      <c r="K123" s="505"/>
      <c r="L123" s="513"/>
      <c r="M123" s="505">
        <f t="shared" si="33"/>
        <v>0</v>
      </c>
      <c r="N123" s="513"/>
      <c r="O123" s="505">
        <f t="shared" si="31"/>
        <v>0</v>
      </c>
      <c r="P123" s="505">
        <f t="shared" si="32"/>
        <v>0</v>
      </c>
      <c r="Q123" s="244"/>
      <c r="R123" s="244"/>
      <c r="S123" s="244"/>
      <c r="T123" s="244"/>
      <c r="U123" s="244"/>
    </row>
    <row r="124" spans="2:21" ht="12.5">
      <c r="B124" s="145" t="str">
        <f t="shared" si="27"/>
        <v/>
      </c>
      <c r="C124" s="496">
        <f>IF(D94="","-",+C123+1)</f>
        <v>2034</v>
      </c>
      <c r="D124" s="350">
        <f>IF(F123+SUM(E$100:E123)=D$93,F123,D$93-SUM(E$100:E123))</f>
        <v>97760.003605149919</v>
      </c>
      <c r="E124" s="510">
        <f>IF(+J97&lt;F123,J97,D124)</f>
        <v>51883</v>
      </c>
      <c r="F124" s="511">
        <f t="shared" si="46"/>
        <v>45877.003605149919</v>
      </c>
      <c r="G124" s="511">
        <f t="shared" si="47"/>
        <v>71818.503605149919</v>
      </c>
      <c r="H124" s="645">
        <f t="shared" si="48"/>
        <v>59756.761329076355</v>
      </c>
      <c r="I124" s="573">
        <f t="shared" si="49"/>
        <v>59756.761329076355</v>
      </c>
      <c r="J124" s="505">
        <f t="shared" si="28"/>
        <v>0</v>
      </c>
      <c r="K124" s="505"/>
      <c r="L124" s="513"/>
      <c r="M124" s="505">
        <f t="shared" si="33"/>
        <v>0</v>
      </c>
      <c r="N124" s="513"/>
      <c r="O124" s="505">
        <f t="shared" si="31"/>
        <v>0</v>
      </c>
      <c r="P124" s="505">
        <f t="shared" si="32"/>
        <v>0</v>
      </c>
      <c r="Q124" s="244"/>
      <c r="R124" s="244"/>
      <c r="S124" s="244"/>
      <c r="T124" s="244"/>
      <c r="U124" s="244"/>
    </row>
    <row r="125" spans="2:21" ht="12.5">
      <c r="B125" s="145" t="str">
        <f t="shared" si="27"/>
        <v/>
      </c>
      <c r="C125" s="496">
        <f>IF(D94="","-",+C124+1)</f>
        <v>2035</v>
      </c>
      <c r="D125" s="350">
        <f>IF(F124+SUM(E$100:E124)=D$93,F124,D$93-SUM(E$100:E124))</f>
        <v>45877.003605149919</v>
      </c>
      <c r="E125" s="510">
        <f>IF(+J97&lt;F124,J97,D125)</f>
        <v>45877.003605149919</v>
      </c>
      <c r="F125" s="511">
        <f t="shared" si="46"/>
        <v>0</v>
      </c>
      <c r="G125" s="511">
        <f t="shared" si="47"/>
        <v>22938.50180257496</v>
      </c>
      <c r="H125" s="645">
        <f t="shared" si="48"/>
        <v>48391.846986363336</v>
      </c>
      <c r="I125" s="573">
        <f t="shared" si="49"/>
        <v>48391.846986363336</v>
      </c>
      <c r="J125" s="505">
        <f t="shared" si="28"/>
        <v>0</v>
      </c>
      <c r="K125" s="505"/>
      <c r="L125" s="513"/>
      <c r="M125" s="505">
        <f t="shared" si="33"/>
        <v>0</v>
      </c>
      <c r="N125" s="513"/>
      <c r="O125" s="505">
        <f t="shared" si="31"/>
        <v>0</v>
      </c>
      <c r="P125" s="505">
        <f t="shared" si="32"/>
        <v>0</v>
      </c>
      <c r="Q125" s="244"/>
      <c r="R125" s="244"/>
      <c r="S125" s="244"/>
      <c r="T125" s="244"/>
      <c r="U125" s="244"/>
    </row>
    <row r="126" spans="2:21" ht="12.5">
      <c r="B126" s="145" t="str">
        <f t="shared" si="27"/>
        <v/>
      </c>
      <c r="C126" s="496">
        <f>IF(D94="","-",+C125+1)</f>
        <v>2036</v>
      </c>
      <c r="D126" s="350">
        <f>IF(F125+SUM(E$100:E125)=D$93,F125,D$93-SUM(E$100:E125))</f>
        <v>0</v>
      </c>
      <c r="E126" s="510">
        <f>IF(+J97&lt;F125,J97,D126)</f>
        <v>0</v>
      </c>
      <c r="F126" s="511">
        <f t="shared" si="46"/>
        <v>0</v>
      </c>
      <c r="G126" s="511">
        <f t="shared" si="47"/>
        <v>0</v>
      </c>
      <c r="H126" s="645">
        <f t="shared" si="48"/>
        <v>0</v>
      </c>
      <c r="I126" s="573">
        <f t="shared" si="49"/>
        <v>0</v>
      </c>
      <c r="J126" s="505">
        <f t="shared" si="28"/>
        <v>0</v>
      </c>
      <c r="K126" s="505"/>
      <c r="L126" s="513"/>
      <c r="M126" s="505">
        <f t="shared" si="33"/>
        <v>0</v>
      </c>
      <c r="N126" s="513"/>
      <c r="O126" s="505">
        <f t="shared" si="31"/>
        <v>0</v>
      </c>
      <c r="P126" s="505">
        <f t="shared" si="32"/>
        <v>0</v>
      </c>
      <c r="Q126" s="244"/>
      <c r="R126" s="244"/>
      <c r="S126" s="244"/>
      <c r="T126" s="244"/>
      <c r="U126" s="244"/>
    </row>
    <row r="127" spans="2:21" ht="12.5">
      <c r="B127" s="145" t="str">
        <f t="shared" si="27"/>
        <v/>
      </c>
      <c r="C127" s="496">
        <f>IF(D94="","-",+C126+1)</f>
        <v>2037</v>
      </c>
      <c r="D127" s="350">
        <f>IF(F126+SUM(E$100:E126)=D$93,F126,D$93-SUM(E$100:E126))</f>
        <v>0</v>
      </c>
      <c r="E127" s="510">
        <f>IF(+J97&lt;F126,J97,D127)</f>
        <v>0</v>
      </c>
      <c r="F127" s="511">
        <f t="shared" si="46"/>
        <v>0</v>
      </c>
      <c r="G127" s="511">
        <f t="shared" si="47"/>
        <v>0</v>
      </c>
      <c r="H127" s="645">
        <f t="shared" si="48"/>
        <v>0</v>
      </c>
      <c r="I127" s="573">
        <f t="shared" si="49"/>
        <v>0</v>
      </c>
      <c r="J127" s="505">
        <f t="shared" si="28"/>
        <v>0</v>
      </c>
      <c r="K127" s="505"/>
      <c r="L127" s="513"/>
      <c r="M127" s="505">
        <f t="shared" si="33"/>
        <v>0</v>
      </c>
      <c r="N127" s="513"/>
      <c r="O127" s="505">
        <f t="shared" si="31"/>
        <v>0</v>
      </c>
      <c r="P127" s="505">
        <f t="shared" si="32"/>
        <v>0</v>
      </c>
      <c r="Q127" s="244"/>
      <c r="R127" s="244"/>
      <c r="S127" s="244"/>
      <c r="T127" s="244"/>
      <c r="U127" s="244"/>
    </row>
    <row r="128" spans="2:21" ht="12.5">
      <c r="B128" s="145" t="str">
        <f t="shared" si="27"/>
        <v/>
      </c>
      <c r="C128" s="496">
        <f>IF(D94="","-",+C127+1)</f>
        <v>2038</v>
      </c>
      <c r="D128" s="350">
        <f>IF(F127+SUM(E$100:E127)=D$93,F127,D$93-SUM(E$100:E127))</f>
        <v>0</v>
      </c>
      <c r="E128" s="510">
        <f>IF(+J97&lt;F127,J97,D128)</f>
        <v>0</v>
      </c>
      <c r="F128" s="511">
        <f t="shared" si="46"/>
        <v>0</v>
      </c>
      <c r="G128" s="511">
        <f t="shared" si="47"/>
        <v>0</v>
      </c>
      <c r="H128" s="645">
        <f t="shared" si="48"/>
        <v>0</v>
      </c>
      <c r="I128" s="573">
        <f t="shared" si="49"/>
        <v>0</v>
      </c>
      <c r="J128" s="505">
        <f t="shared" si="28"/>
        <v>0</v>
      </c>
      <c r="K128" s="505"/>
      <c r="L128" s="513"/>
      <c r="M128" s="505">
        <f t="shared" si="33"/>
        <v>0</v>
      </c>
      <c r="N128" s="513"/>
      <c r="O128" s="505">
        <f t="shared" si="31"/>
        <v>0</v>
      </c>
      <c r="P128" s="505">
        <f t="shared" si="32"/>
        <v>0</v>
      </c>
      <c r="Q128" s="244"/>
      <c r="R128" s="244"/>
      <c r="S128" s="244"/>
      <c r="T128" s="244"/>
      <c r="U128" s="244"/>
    </row>
    <row r="129" spans="2:21" ht="12.5">
      <c r="B129" s="145" t="str">
        <f t="shared" si="27"/>
        <v/>
      </c>
      <c r="C129" s="496">
        <f>IF(D94="","-",+C128+1)</f>
        <v>2039</v>
      </c>
      <c r="D129" s="350">
        <f>IF(F128+SUM(E$100:E128)=D$93,F128,D$93-SUM(E$100:E128))</f>
        <v>0</v>
      </c>
      <c r="E129" s="510">
        <f>IF(+J97&lt;F128,J97,D129)</f>
        <v>0</v>
      </c>
      <c r="F129" s="511">
        <f t="shared" si="46"/>
        <v>0</v>
      </c>
      <c r="G129" s="511">
        <f t="shared" si="47"/>
        <v>0</v>
      </c>
      <c r="H129" s="645">
        <f t="shared" si="48"/>
        <v>0</v>
      </c>
      <c r="I129" s="573">
        <f t="shared" si="49"/>
        <v>0</v>
      </c>
      <c r="J129" s="505">
        <f t="shared" si="28"/>
        <v>0</v>
      </c>
      <c r="K129" s="505"/>
      <c r="L129" s="513"/>
      <c r="M129" s="505">
        <f t="shared" si="33"/>
        <v>0</v>
      </c>
      <c r="N129" s="513"/>
      <c r="O129" s="505">
        <f t="shared" si="31"/>
        <v>0</v>
      </c>
      <c r="P129" s="505">
        <f t="shared" si="32"/>
        <v>0</v>
      </c>
      <c r="Q129" s="244"/>
      <c r="R129" s="244"/>
      <c r="S129" s="244"/>
      <c r="T129" s="244"/>
      <c r="U129" s="244"/>
    </row>
    <row r="130" spans="2:21" ht="12.5">
      <c r="B130" s="145" t="str">
        <f t="shared" si="27"/>
        <v/>
      </c>
      <c r="C130" s="496">
        <f>IF(D94="","-",+C129+1)</f>
        <v>2040</v>
      </c>
      <c r="D130" s="350">
        <f>IF(F129+SUM(E$100:E129)=D$93,F129,D$93-SUM(E$100:E129))</f>
        <v>0</v>
      </c>
      <c r="E130" s="510">
        <f>IF(+J97&lt;F129,J97,D130)</f>
        <v>0</v>
      </c>
      <c r="F130" s="511">
        <f t="shared" si="46"/>
        <v>0</v>
      </c>
      <c r="G130" s="511">
        <f t="shared" si="47"/>
        <v>0</v>
      </c>
      <c r="H130" s="645">
        <f t="shared" si="48"/>
        <v>0</v>
      </c>
      <c r="I130" s="573">
        <f t="shared" si="49"/>
        <v>0</v>
      </c>
      <c r="J130" s="505">
        <f t="shared" si="28"/>
        <v>0</v>
      </c>
      <c r="K130" s="505"/>
      <c r="L130" s="513"/>
      <c r="M130" s="505">
        <f t="shared" si="33"/>
        <v>0</v>
      </c>
      <c r="N130" s="513"/>
      <c r="O130" s="505">
        <f t="shared" si="31"/>
        <v>0</v>
      </c>
      <c r="P130" s="505">
        <f t="shared" si="32"/>
        <v>0</v>
      </c>
      <c r="Q130" s="244"/>
      <c r="R130" s="244"/>
      <c r="S130" s="244"/>
      <c r="T130" s="244"/>
      <c r="U130" s="244"/>
    </row>
    <row r="131" spans="2:21" ht="12.5">
      <c r="B131" s="145" t="str">
        <f t="shared" si="27"/>
        <v/>
      </c>
      <c r="C131" s="496">
        <f>IF(D94="","-",+C130+1)</f>
        <v>2041</v>
      </c>
      <c r="D131" s="350">
        <f>IF(F130+SUM(E$100:E130)=D$93,F130,D$93-SUM(E$100:E130))</f>
        <v>0</v>
      </c>
      <c r="E131" s="510">
        <f>IF(+J97&lt;F130,J97,D131)</f>
        <v>0</v>
      </c>
      <c r="F131" s="511">
        <f t="shared" si="46"/>
        <v>0</v>
      </c>
      <c r="G131" s="511">
        <f t="shared" si="47"/>
        <v>0</v>
      </c>
      <c r="H131" s="645">
        <f t="shared" si="48"/>
        <v>0</v>
      </c>
      <c r="I131" s="573">
        <f t="shared" si="49"/>
        <v>0</v>
      </c>
      <c r="J131" s="505">
        <f t="shared" si="28"/>
        <v>0</v>
      </c>
      <c r="K131" s="505"/>
      <c r="L131" s="513"/>
      <c r="M131" s="505">
        <f t="shared" si="33"/>
        <v>0</v>
      </c>
      <c r="N131" s="513"/>
      <c r="O131" s="505">
        <f t="shared" si="31"/>
        <v>0</v>
      </c>
      <c r="P131" s="505">
        <f t="shared" si="32"/>
        <v>0</v>
      </c>
      <c r="Q131" s="244"/>
      <c r="R131" s="244"/>
      <c r="S131" s="244"/>
      <c r="T131" s="244"/>
      <c r="U131" s="244"/>
    </row>
    <row r="132" spans="2:21" ht="12.5">
      <c r="B132" s="145" t="str">
        <f t="shared" si="27"/>
        <v/>
      </c>
      <c r="C132" s="496">
        <f>IF(D94="","-",+C131+1)</f>
        <v>2042</v>
      </c>
      <c r="D132" s="350">
        <f>IF(F131+SUM(E$100:E131)=D$93,F131,D$93-SUM(E$100:E131))</f>
        <v>0</v>
      </c>
      <c r="E132" s="510">
        <f>IF(+J97&lt;F131,J97,D132)</f>
        <v>0</v>
      </c>
      <c r="F132" s="511">
        <f t="shared" ref="F132:F155" si="50">+D132-E132</f>
        <v>0</v>
      </c>
      <c r="G132" s="511">
        <f t="shared" ref="G132:G155" si="51">+(F132+D132)/2</f>
        <v>0</v>
      </c>
      <c r="H132" s="645">
        <f t="shared" si="48"/>
        <v>0</v>
      </c>
      <c r="I132" s="573">
        <f t="shared" si="49"/>
        <v>0</v>
      </c>
      <c r="J132" s="505">
        <f t="shared" ref="J132:J155" si="52">+I132-H132</f>
        <v>0</v>
      </c>
      <c r="K132" s="505"/>
      <c r="L132" s="513"/>
      <c r="M132" s="505">
        <f t="shared" ref="M132:M155" si="53">IF(L132&lt;&gt;0,+H132-L132,0)</f>
        <v>0</v>
      </c>
      <c r="N132" s="513"/>
      <c r="O132" s="505">
        <f t="shared" ref="O132:O155" si="54">IF(N132&lt;&gt;0,+I132-N132,0)</f>
        <v>0</v>
      </c>
      <c r="P132" s="505">
        <f t="shared" ref="P132:P155" si="55">+O132-M132</f>
        <v>0</v>
      </c>
      <c r="Q132" s="244"/>
      <c r="R132" s="244"/>
      <c r="S132" s="244"/>
      <c r="T132" s="244"/>
      <c r="U132" s="244"/>
    </row>
    <row r="133" spans="2:21" ht="12.5">
      <c r="B133" s="145" t="str">
        <f t="shared" si="27"/>
        <v/>
      </c>
      <c r="C133" s="496">
        <f>IF(D94="","-",+C132+1)</f>
        <v>2043</v>
      </c>
      <c r="D133" s="350">
        <f>IF(F132+SUM(E$100:E132)=D$93,F132,D$93-SUM(E$100:E132))</f>
        <v>0</v>
      </c>
      <c r="E133" s="510">
        <f>IF(+J97&lt;F132,J97,D133)</f>
        <v>0</v>
      </c>
      <c r="F133" s="511">
        <f t="shared" si="50"/>
        <v>0</v>
      </c>
      <c r="G133" s="511">
        <f t="shared" si="51"/>
        <v>0</v>
      </c>
      <c r="H133" s="645">
        <f t="shared" si="48"/>
        <v>0</v>
      </c>
      <c r="I133" s="573">
        <f t="shared" si="49"/>
        <v>0</v>
      </c>
      <c r="J133" s="505">
        <f t="shared" si="52"/>
        <v>0</v>
      </c>
      <c r="K133" s="505"/>
      <c r="L133" s="513"/>
      <c r="M133" s="505">
        <f t="shared" si="53"/>
        <v>0</v>
      </c>
      <c r="N133" s="513"/>
      <c r="O133" s="505">
        <f t="shared" si="54"/>
        <v>0</v>
      </c>
      <c r="P133" s="505">
        <f t="shared" si="55"/>
        <v>0</v>
      </c>
      <c r="Q133" s="244"/>
      <c r="R133" s="244"/>
      <c r="S133" s="244"/>
      <c r="T133" s="244"/>
      <c r="U133" s="244"/>
    </row>
    <row r="134" spans="2:21" ht="12.5">
      <c r="B134" s="145" t="str">
        <f t="shared" si="27"/>
        <v/>
      </c>
      <c r="C134" s="496">
        <f>IF(D94="","-",+C133+1)</f>
        <v>2044</v>
      </c>
      <c r="D134" s="350">
        <f>IF(F133+SUM(E$100:E133)=D$93,F133,D$93-SUM(E$100:E133))</f>
        <v>0</v>
      </c>
      <c r="E134" s="510">
        <f>IF(+J97&lt;F133,J97,D134)</f>
        <v>0</v>
      </c>
      <c r="F134" s="511">
        <f t="shared" si="50"/>
        <v>0</v>
      </c>
      <c r="G134" s="511">
        <f t="shared" si="51"/>
        <v>0</v>
      </c>
      <c r="H134" s="645">
        <f t="shared" si="48"/>
        <v>0</v>
      </c>
      <c r="I134" s="573">
        <f t="shared" si="49"/>
        <v>0</v>
      </c>
      <c r="J134" s="505">
        <f t="shared" si="52"/>
        <v>0</v>
      </c>
      <c r="K134" s="505"/>
      <c r="L134" s="513"/>
      <c r="M134" s="505">
        <f t="shared" si="53"/>
        <v>0</v>
      </c>
      <c r="N134" s="513"/>
      <c r="O134" s="505">
        <f t="shared" si="54"/>
        <v>0</v>
      </c>
      <c r="P134" s="505">
        <f t="shared" si="55"/>
        <v>0</v>
      </c>
      <c r="Q134" s="244"/>
      <c r="R134" s="244"/>
      <c r="S134" s="244"/>
      <c r="T134" s="244"/>
      <c r="U134" s="244"/>
    </row>
    <row r="135" spans="2:21" ht="12.5">
      <c r="B135" s="145" t="str">
        <f t="shared" si="27"/>
        <v/>
      </c>
      <c r="C135" s="496">
        <f>IF(D94="","-",+C134+1)</f>
        <v>2045</v>
      </c>
      <c r="D135" s="350">
        <f>IF(F134+SUM(E$100:E134)=D$93,F134,D$93-SUM(E$100:E134))</f>
        <v>0</v>
      </c>
      <c r="E135" s="510">
        <f>IF(+J97&lt;F134,J97,D135)</f>
        <v>0</v>
      </c>
      <c r="F135" s="511">
        <f t="shared" si="50"/>
        <v>0</v>
      </c>
      <c r="G135" s="511">
        <f t="shared" si="51"/>
        <v>0</v>
      </c>
      <c r="H135" s="645">
        <f t="shared" si="48"/>
        <v>0</v>
      </c>
      <c r="I135" s="573">
        <f t="shared" si="49"/>
        <v>0</v>
      </c>
      <c r="J135" s="505">
        <f t="shared" si="52"/>
        <v>0</v>
      </c>
      <c r="K135" s="505"/>
      <c r="L135" s="513"/>
      <c r="M135" s="505">
        <f t="shared" si="53"/>
        <v>0</v>
      </c>
      <c r="N135" s="513"/>
      <c r="O135" s="505">
        <f t="shared" si="54"/>
        <v>0</v>
      </c>
      <c r="P135" s="505">
        <f t="shared" si="55"/>
        <v>0</v>
      </c>
      <c r="Q135" s="244"/>
      <c r="R135" s="244"/>
      <c r="S135" s="244"/>
      <c r="T135" s="244"/>
      <c r="U135" s="244"/>
    </row>
    <row r="136" spans="2:21" ht="12.5">
      <c r="B136" s="145" t="str">
        <f t="shared" si="27"/>
        <v/>
      </c>
      <c r="C136" s="496">
        <f>IF(D94="","-",+C135+1)</f>
        <v>2046</v>
      </c>
      <c r="D136" s="350">
        <f>IF(F135+SUM(E$100:E135)=D$93,F135,D$93-SUM(E$100:E135))</f>
        <v>0</v>
      </c>
      <c r="E136" s="510">
        <f>IF(+J97&lt;F135,J97,D136)</f>
        <v>0</v>
      </c>
      <c r="F136" s="511">
        <f t="shared" si="50"/>
        <v>0</v>
      </c>
      <c r="G136" s="511">
        <f t="shared" si="51"/>
        <v>0</v>
      </c>
      <c r="H136" s="645">
        <f t="shared" si="48"/>
        <v>0</v>
      </c>
      <c r="I136" s="573">
        <f t="shared" si="49"/>
        <v>0</v>
      </c>
      <c r="J136" s="505">
        <f t="shared" si="52"/>
        <v>0</v>
      </c>
      <c r="K136" s="505"/>
      <c r="L136" s="513"/>
      <c r="M136" s="505">
        <f t="shared" si="53"/>
        <v>0</v>
      </c>
      <c r="N136" s="513"/>
      <c r="O136" s="505">
        <f t="shared" si="54"/>
        <v>0</v>
      </c>
      <c r="P136" s="505">
        <f t="shared" si="55"/>
        <v>0</v>
      </c>
      <c r="Q136" s="244"/>
      <c r="R136" s="244"/>
      <c r="S136" s="244"/>
      <c r="T136" s="244"/>
      <c r="U136" s="244"/>
    </row>
    <row r="137" spans="2:21" ht="12.5">
      <c r="B137" s="145" t="str">
        <f t="shared" si="27"/>
        <v/>
      </c>
      <c r="C137" s="496">
        <f>IF(D94="","-",+C136+1)</f>
        <v>2047</v>
      </c>
      <c r="D137" s="350">
        <f>IF(F136+SUM(E$100:E136)=D$93,F136,D$93-SUM(E$100:E136))</f>
        <v>0</v>
      </c>
      <c r="E137" s="510">
        <f>IF(+J97&lt;F136,J97,D137)</f>
        <v>0</v>
      </c>
      <c r="F137" s="511">
        <f t="shared" si="50"/>
        <v>0</v>
      </c>
      <c r="G137" s="511">
        <f t="shared" si="51"/>
        <v>0</v>
      </c>
      <c r="H137" s="645">
        <f t="shared" si="48"/>
        <v>0</v>
      </c>
      <c r="I137" s="573">
        <f t="shared" si="49"/>
        <v>0</v>
      </c>
      <c r="J137" s="505">
        <f t="shared" si="52"/>
        <v>0</v>
      </c>
      <c r="K137" s="505"/>
      <c r="L137" s="513"/>
      <c r="M137" s="505">
        <f t="shared" si="53"/>
        <v>0</v>
      </c>
      <c r="N137" s="513"/>
      <c r="O137" s="505">
        <f t="shared" si="54"/>
        <v>0</v>
      </c>
      <c r="P137" s="505">
        <f t="shared" si="55"/>
        <v>0</v>
      </c>
      <c r="Q137" s="244"/>
      <c r="R137" s="244"/>
      <c r="S137" s="244"/>
      <c r="T137" s="244"/>
      <c r="U137" s="244"/>
    </row>
    <row r="138" spans="2:21" ht="12.5">
      <c r="B138" s="145" t="str">
        <f t="shared" si="27"/>
        <v/>
      </c>
      <c r="C138" s="496">
        <f>IF(D94="","-",+C137+1)</f>
        <v>2048</v>
      </c>
      <c r="D138" s="350">
        <f>IF(F137+SUM(E$100:E137)=D$93,F137,D$93-SUM(E$100:E137))</f>
        <v>0</v>
      </c>
      <c r="E138" s="510">
        <f>IF(+J97&lt;F137,J97,D138)</f>
        <v>0</v>
      </c>
      <c r="F138" s="511">
        <f t="shared" si="50"/>
        <v>0</v>
      </c>
      <c r="G138" s="511">
        <f t="shared" si="51"/>
        <v>0</v>
      </c>
      <c r="H138" s="645">
        <f t="shared" si="48"/>
        <v>0</v>
      </c>
      <c r="I138" s="573">
        <f t="shared" si="49"/>
        <v>0</v>
      </c>
      <c r="J138" s="505">
        <f t="shared" si="52"/>
        <v>0</v>
      </c>
      <c r="K138" s="505"/>
      <c r="L138" s="513"/>
      <c r="M138" s="505">
        <f t="shared" si="53"/>
        <v>0</v>
      </c>
      <c r="N138" s="513"/>
      <c r="O138" s="505">
        <f t="shared" si="54"/>
        <v>0</v>
      </c>
      <c r="P138" s="505">
        <f t="shared" si="55"/>
        <v>0</v>
      </c>
      <c r="Q138" s="244"/>
      <c r="R138" s="244"/>
      <c r="S138" s="244"/>
      <c r="T138" s="244"/>
      <c r="U138" s="244"/>
    </row>
    <row r="139" spans="2:21" ht="12.5">
      <c r="B139" s="145" t="str">
        <f t="shared" si="27"/>
        <v/>
      </c>
      <c r="C139" s="496">
        <f>IF(D94="","-",+C138+1)</f>
        <v>2049</v>
      </c>
      <c r="D139" s="350">
        <f>IF(F138+SUM(E$100:E138)=D$93,F138,D$93-SUM(E$100:E138))</f>
        <v>0</v>
      </c>
      <c r="E139" s="510">
        <f>IF(+J97&lt;F138,J97,D139)</f>
        <v>0</v>
      </c>
      <c r="F139" s="511">
        <f t="shared" si="50"/>
        <v>0</v>
      </c>
      <c r="G139" s="511">
        <f t="shared" si="51"/>
        <v>0</v>
      </c>
      <c r="H139" s="645">
        <f t="shared" si="48"/>
        <v>0</v>
      </c>
      <c r="I139" s="573">
        <f t="shared" si="49"/>
        <v>0</v>
      </c>
      <c r="J139" s="505">
        <f t="shared" si="52"/>
        <v>0</v>
      </c>
      <c r="K139" s="505"/>
      <c r="L139" s="513"/>
      <c r="M139" s="505">
        <f t="shared" si="53"/>
        <v>0</v>
      </c>
      <c r="N139" s="513"/>
      <c r="O139" s="505">
        <f t="shared" si="54"/>
        <v>0</v>
      </c>
      <c r="P139" s="505">
        <f t="shared" si="55"/>
        <v>0</v>
      </c>
      <c r="Q139" s="244"/>
      <c r="R139" s="244"/>
      <c r="S139" s="244"/>
      <c r="T139" s="244"/>
      <c r="U139" s="244"/>
    </row>
    <row r="140" spans="2:21" ht="12.5">
      <c r="B140" s="145" t="str">
        <f t="shared" si="27"/>
        <v/>
      </c>
      <c r="C140" s="496">
        <f>IF(D94="","-",+C139+1)</f>
        <v>2050</v>
      </c>
      <c r="D140" s="350">
        <f>IF(F139+SUM(E$100:E139)=D$93,F139,D$93-SUM(E$100:E139))</f>
        <v>0</v>
      </c>
      <c r="E140" s="510">
        <f>IF(+J97&lt;F139,J97,D140)</f>
        <v>0</v>
      </c>
      <c r="F140" s="511">
        <f t="shared" si="50"/>
        <v>0</v>
      </c>
      <c r="G140" s="511">
        <f t="shared" si="51"/>
        <v>0</v>
      </c>
      <c r="H140" s="645">
        <f t="shared" si="48"/>
        <v>0</v>
      </c>
      <c r="I140" s="573">
        <f t="shared" si="49"/>
        <v>0</v>
      </c>
      <c r="J140" s="505">
        <f t="shared" si="52"/>
        <v>0</v>
      </c>
      <c r="K140" s="505"/>
      <c r="L140" s="513"/>
      <c r="M140" s="505">
        <f t="shared" si="53"/>
        <v>0</v>
      </c>
      <c r="N140" s="513"/>
      <c r="O140" s="505">
        <f t="shared" si="54"/>
        <v>0</v>
      </c>
      <c r="P140" s="505">
        <f t="shared" si="55"/>
        <v>0</v>
      </c>
      <c r="Q140" s="244"/>
      <c r="R140" s="244"/>
      <c r="S140" s="244"/>
      <c r="T140" s="244"/>
      <c r="U140" s="244"/>
    </row>
    <row r="141" spans="2:21" ht="12.5">
      <c r="B141" s="145" t="str">
        <f t="shared" si="27"/>
        <v/>
      </c>
      <c r="C141" s="496">
        <f>IF(D94="","-",+C140+1)</f>
        <v>2051</v>
      </c>
      <c r="D141" s="350">
        <f>IF(F140+SUM(E$100:E140)=D$93,F140,D$93-SUM(E$100:E140))</f>
        <v>0</v>
      </c>
      <c r="E141" s="510">
        <f>IF(+J97&lt;F140,J97,D141)</f>
        <v>0</v>
      </c>
      <c r="F141" s="511">
        <f t="shared" si="50"/>
        <v>0</v>
      </c>
      <c r="G141" s="511">
        <f t="shared" si="51"/>
        <v>0</v>
      </c>
      <c r="H141" s="645">
        <f t="shared" si="48"/>
        <v>0</v>
      </c>
      <c r="I141" s="573">
        <f t="shared" si="49"/>
        <v>0</v>
      </c>
      <c r="J141" s="505">
        <f t="shared" si="52"/>
        <v>0</v>
      </c>
      <c r="K141" s="505"/>
      <c r="L141" s="513"/>
      <c r="M141" s="505">
        <f t="shared" si="53"/>
        <v>0</v>
      </c>
      <c r="N141" s="513"/>
      <c r="O141" s="505">
        <f t="shared" si="54"/>
        <v>0</v>
      </c>
      <c r="P141" s="505">
        <f t="shared" si="55"/>
        <v>0</v>
      </c>
      <c r="Q141" s="244"/>
      <c r="R141" s="244"/>
      <c r="S141" s="244"/>
      <c r="T141" s="244"/>
      <c r="U141" s="244"/>
    </row>
    <row r="142" spans="2:21" ht="12.5">
      <c r="B142" s="145" t="str">
        <f t="shared" si="27"/>
        <v/>
      </c>
      <c r="C142" s="496">
        <f>IF(D94="","-",+C141+1)</f>
        <v>2052</v>
      </c>
      <c r="D142" s="350">
        <f>IF(F141+SUM(E$100:E141)=D$93,F141,D$93-SUM(E$100:E141))</f>
        <v>0</v>
      </c>
      <c r="E142" s="510">
        <f>IF(+J97&lt;F141,J97,D142)</f>
        <v>0</v>
      </c>
      <c r="F142" s="511">
        <f t="shared" si="50"/>
        <v>0</v>
      </c>
      <c r="G142" s="511">
        <f t="shared" si="51"/>
        <v>0</v>
      </c>
      <c r="H142" s="645">
        <f t="shared" si="48"/>
        <v>0</v>
      </c>
      <c r="I142" s="573">
        <f t="shared" si="49"/>
        <v>0</v>
      </c>
      <c r="J142" s="505">
        <f t="shared" si="52"/>
        <v>0</v>
      </c>
      <c r="K142" s="505"/>
      <c r="L142" s="513"/>
      <c r="M142" s="505">
        <f t="shared" si="53"/>
        <v>0</v>
      </c>
      <c r="N142" s="513"/>
      <c r="O142" s="505">
        <f t="shared" si="54"/>
        <v>0</v>
      </c>
      <c r="P142" s="505">
        <f t="shared" si="55"/>
        <v>0</v>
      </c>
      <c r="Q142" s="244"/>
      <c r="R142" s="244"/>
      <c r="S142" s="244"/>
      <c r="T142" s="244"/>
      <c r="U142" s="244"/>
    </row>
    <row r="143" spans="2:21" ht="12.5">
      <c r="B143" s="145" t="str">
        <f t="shared" si="27"/>
        <v/>
      </c>
      <c r="C143" s="496">
        <f>IF(D94="","-",+C142+1)</f>
        <v>2053</v>
      </c>
      <c r="D143" s="350">
        <f>IF(F142+SUM(E$100:E142)=D$93,F142,D$93-SUM(E$100:E142))</f>
        <v>0</v>
      </c>
      <c r="E143" s="510">
        <f>IF(+J97&lt;F142,J97,D143)</f>
        <v>0</v>
      </c>
      <c r="F143" s="511">
        <f t="shared" si="50"/>
        <v>0</v>
      </c>
      <c r="G143" s="511">
        <f t="shared" si="51"/>
        <v>0</v>
      </c>
      <c r="H143" s="645">
        <f t="shared" si="48"/>
        <v>0</v>
      </c>
      <c r="I143" s="573">
        <f t="shared" si="49"/>
        <v>0</v>
      </c>
      <c r="J143" s="505">
        <f t="shared" si="52"/>
        <v>0</v>
      </c>
      <c r="K143" s="505"/>
      <c r="L143" s="513"/>
      <c r="M143" s="505">
        <f t="shared" si="53"/>
        <v>0</v>
      </c>
      <c r="N143" s="513"/>
      <c r="O143" s="505">
        <f t="shared" si="54"/>
        <v>0</v>
      </c>
      <c r="P143" s="505">
        <f t="shared" si="55"/>
        <v>0</v>
      </c>
      <c r="Q143" s="244"/>
      <c r="R143" s="244"/>
      <c r="S143" s="244"/>
      <c r="T143" s="244"/>
      <c r="U143" s="244"/>
    </row>
    <row r="144" spans="2:21" ht="12.5">
      <c r="B144" s="145" t="str">
        <f t="shared" si="27"/>
        <v/>
      </c>
      <c r="C144" s="496">
        <f>IF(D94="","-",+C143+1)</f>
        <v>2054</v>
      </c>
      <c r="D144" s="350">
        <f>IF(F143+SUM(E$100:E143)=D$93,F143,D$93-SUM(E$100:E143))</f>
        <v>0</v>
      </c>
      <c r="E144" s="510">
        <f>IF(+J97&lt;F143,J97,D144)</f>
        <v>0</v>
      </c>
      <c r="F144" s="511">
        <f t="shared" si="50"/>
        <v>0</v>
      </c>
      <c r="G144" s="511">
        <f t="shared" si="51"/>
        <v>0</v>
      </c>
      <c r="H144" s="645">
        <f t="shared" si="48"/>
        <v>0</v>
      </c>
      <c r="I144" s="573">
        <f t="shared" si="49"/>
        <v>0</v>
      </c>
      <c r="J144" s="505">
        <f t="shared" si="52"/>
        <v>0</v>
      </c>
      <c r="K144" s="505"/>
      <c r="L144" s="513"/>
      <c r="M144" s="505">
        <f t="shared" si="53"/>
        <v>0</v>
      </c>
      <c r="N144" s="513"/>
      <c r="O144" s="505">
        <f t="shared" si="54"/>
        <v>0</v>
      </c>
      <c r="P144" s="505">
        <f t="shared" si="55"/>
        <v>0</v>
      </c>
      <c r="Q144" s="244"/>
      <c r="R144" s="244"/>
      <c r="S144" s="244"/>
      <c r="T144" s="244"/>
      <c r="U144" s="244"/>
    </row>
    <row r="145" spans="2:21" ht="12.5">
      <c r="B145" s="145" t="str">
        <f t="shared" si="27"/>
        <v/>
      </c>
      <c r="C145" s="496">
        <f>IF(D94="","-",+C144+1)</f>
        <v>2055</v>
      </c>
      <c r="D145" s="350">
        <f>IF(F144+SUM(E$100:E144)=D$93,F144,D$93-SUM(E$100:E144))</f>
        <v>0</v>
      </c>
      <c r="E145" s="510">
        <f>IF(+J97&lt;F144,J97,D145)</f>
        <v>0</v>
      </c>
      <c r="F145" s="511">
        <f t="shared" si="50"/>
        <v>0</v>
      </c>
      <c r="G145" s="511">
        <f t="shared" si="51"/>
        <v>0</v>
      </c>
      <c r="H145" s="645">
        <f t="shared" si="48"/>
        <v>0</v>
      </c>
      <c r="I145" s="573">
        <f t="shared" si="49"/>
        <v>0</v>
      </c>
      <c r="J145" s="505">
        <f t="shared" si="52"/>
        <v>0</v>
      </c>
      <c r="K145" s="505"/>
      <c r="L145" s="513"/>
      <c r="M145" s="505">
        <f t="shared" si="53"/>
        <v>0</v>
      </c>
      <c r="N145" s="513"/>
      <c r="O145" s="505">
        <f t="shared" si="54"/>
        <v>0</v>
      </c>
      <c r="P145" s="505">
        <f t="shared" si="55"/>
        <v>0</v>
      </c>
      <c r="Q145" s="244"/>
      <c r="R145" s="244"/>
      <c r="S145" s="244"/>
      <c r="T145" s="244"/>
      <c r="U145" s="244"/>
    </row>
    <row r="146" spans="2:21" ht="12.5">
      <c r="B146" s="145" t="str">
        <f t="shared" si="27"/>
        <v/>
      </c>
      <c r="C146" s="496">
        <f>IF(D94="","-",+C145+1)</f>
        <v>2056</v>
      </c>
      <c r="D146" s="350">
        <f>IF(F145+SUM(E$100:E145)=D$93,F145,D$93-SUM(E$100:E145))</f>
        <v>0</v>
      </c>
      <c r="E146" s="510">
        <f>IF(+J97&lt;F145,J97,D146)</f>
        <v>0</v>
      </c>
      <c r="F146" s="511">
        <f t="shared" si="50"/>
        <v>0</v>
      </c>
      <c r="G146" s="511">
        <f t="shared" si="51"/>
        <v>0</v>
      </c>
      <c r="H146" s="645">
        <f t="shared" si="48"/>
        <v>0</v>
      </c>
      <c r="I146" s="573">
        <f t="shared" si="49"/>
        <v>0</v>
      </c>
      <c r="J146" s="505">
        <f t="shared" si="52"/>
        <v>0</v>
      </c>
      <c r="K146" s="505"/>
      <c r="L146" s="513"/>
      <c r="M146" s="505">
        <f t="shared" si="53"/>
        <v>0</v>
      </c>
      <c r="N146" s="513"/>
      <c r="O146" s="505">
        <f t="shared" si="54"/>
        <v>0</v>
      </c>
      <c r="P146" s="505">
        <f t="shared" si="55"/>
        <v>0</v>
      </c>
      <c r="Q146" s="244"/>
      <c r="R146" s="244"/>
      <c r="S146" s="244"/>
      <c r="T146" s="244"/>
      <c r="U146" s="244"/>
    </row>
    <row r="147" spans="2:21" ht="12.5">
      <c r="B147" s="145" t="str">
        <f t="shared" si="27"/>
        <v/>
      </c>
      <c r="C147" s="496">
        <f>IF(D94="","-",+C146+1)</f>
        <v>2057</v>
      </c>
      <c r="D147" s="350">
        <f>IF(F146+SUM(E$100:E146)=D$93,F146,D$93-SUM(E$100:E146))</f>
        <v>0</v>
      </c>
      <c r="E147" s="510">
        <f>IF(+J97&lt;F146,J97,D147)</f>
        <v>0</v>
      </c>
      <c r="F147" s="511">
        <f t="shared" si="50"/>
        <v>0</v>
      </c>
      <c r="G147" s="511">
        <f t="shared" si="51"/>
        <v>0</v>
      </c>
      <c r="H147" s="645">
        <f t="shared" si="48"/>
        <v>0</v>
      </c>
      <c r="I147" s="573">
        <f t="shared" si="49"/>
        <v>0</v>
      </c>
      <c r="J147" s="505">
        <f t="shared" si="52"/>
        <v>0</v>
      </c>
      <c r="K147" s="505"/>
      <c r="L147" s="513"/>
      <c r="M147" s="505">
        <f t="shared" si="53"/>
        <v>0</v>
      </c>
      <c r="N147" s="513"/>
      <c r="O147" s="505">
        <f t="shared" si="54"/>
        <v>0</v>
      </c>
      <c r="P147" s="505">
        <f t="shared" si="55"/>
        <v>0</v>
      </c>
      <c r="Q147" s="244"/>
      <c r="R147" s="244"/>
      <c r="S147" s="244"/>
      <c r="T147" s="244"/>
      <c r="U147" s="244"/>
    </row>
    <row r="148" spans="2:21" ht="12.5">
      <c r="B148" s="145" t="str">
        <f t="shared" si="27"/>
        <v/>
      </c>
      <c r="C148" s="496">
        <f>IF(D94="","-",+C147+1)</f>
        <v>2058</v>
      </c>
      <c r="D148" s="350">
        <f>IF(F147+SUM(E$100:E147)=D$93,F147,D$93-SUM(E$100:E147))</f>
        <v>0</v>
      </c>
      <c r="E148" s="510">
        <f>IF(+J97&lt;F147,J97,D148)</f>
        <v>0</v>
      </c>
      <c r="F148" s="511">
        <f t="shared" si="50"/>
        <v>0</v>
      </c>
      <c r="G148" s="511">
        <f t="shared" si="51"/>
        <v>0</v>
      </c>
      <c r="H148" s="645">
        <f t="shared" si="48"/>
        <v>0</v>
      </c>
      <c r="I148" s="573">
        <f t="shared" si="49"/>
        <v>0</v>
      </c>
      <c r="J148" s="505">
        <f t="shared" si="52"/>
        <v>0</v>
      </c>
      <c r="K148" s="505"/>
      <c r="L148" s="513"/>
      <c r="M148" s="505">
        <f t="shared" si="53"/>
        <v>0</v>
      </c>
      <c r="N148" s="513"/>
      <c r="O148" s="505">
        <f t="shared" si="54"/>
        <v>0</v>
      </c>
      <c r="P148" s="505">
        <f t="shared" si="55"/>
        <v>0</v>
      </c>
      <c r="Q148" s="244"/>
      <c r="R148" s="244"/>
      <c r="S148" s="244"/>
      <c r="T148" s="244"/>
      <c r="U148" s="244"/>
    </row>
    <row r="149" spans="2:21" ht="12.5">
      <c r="B149" s="145" t="str">
        <f t="shared" si="27"/>
        <v/>
      </c>
      <c r="C149" s="496">
        <f>IF(D94="","-",+C148+1)</f>
        <v>2059</v>
      </c>
      <c r="D149" s="350">
        <f>IF(F148+SUM(E$100:E148)=D$93,F148,D$93-SUM(E$100:E148))</f>
        <v>0</v>
      </c>
      <c r="E149" s="510">
        <f>IF(+J97&lt;F148,J97,D149)</f>
        <v>0</v>
      </c>
      <c r="F149" s="511">
        <f t="shared" si="50"/>
        <v>0</v>
      </c>
      <c r="G149" s="511">
        <f t="shared" si="51"/>
        <v>0</v>
      </c>
      <c r="H149" s="645">
        <f t="shared" si="48"/>
        <v>0</v>
      </c>
      <c r="I149" s="573">
        <f t="shared" si="49"/>
        <v>0</v>
      </c>
      <c r="J149" s="505">
        <f t="shared" si="52"/>
        <v>0</v>
      </c>
      <c r="K149" s="505"/>
      <c r="L149" s="513"/>
      <c r="M149" s="505">
        <f t="shared" si="53"/>
        <v>0</v>
      </c>
      <c r="N149" s="513"/>
      <c r="O149" s="505">
        <f t="shared" si="54"/>
        <v>0</v>
      </c>
      <c r="P149" s="505">
        <f t="shared" si="55"/>
        <v>0</v>
      </c>
      <c r="Q149" s="244"/>
      <c r="R149" s="244"/>
      <c r="S149" s="244"/>
      <c r="T149" s="244"/>
      <c r="U149" s="244"/>
    </row>
    <row r="150" spans="2:21" ht="12.5">
      <c r="B150" s="145" t="str">
        <f t="shared" si="27"/>
        <v/>
      </c>
      <c r="C150" s="496">
        <f>IF(D94="","-",+C149+1)</f>
        <v>2060</v>
      </c>
      <c r="D150" s="350">
        <f>IF(F149+SUM(E$100:E149)=D$93,F149,D$93-SUM(E$100:E149))</f>
        <v>0</v>
      </c>
      <c r="E150" s="510">
        <f>IF(+J97&lt;F149,J97,D150)</f>
        <v>0</v>
      </c>
      <c r="F150" s="511">
        <f t="shared" si="50"/>
        <v>0</v>
      </c>
      <c r="G150" s="511">
        <f t="shared" si="51"/>
        <v>0</v>
      </c>
      <c r="H150" s="645">
        <f t="shared" si="48"/>
        <v>0</v>
      </c>
      <c r="I150" s="573">
        <f t="shared" si="49"/>
        <v>0</v>
      </c>
      <c r="J150" s="505">
        <f t="shared" si="52"/>
        <v>0</v>
      </c>
      <c r="K150" s="505"/>
      <c r="L150" s="513"/>
      <c r="M150" s="505">
        <f t="shared" si="53"/>
        <v>0</v>
      </c>
      <c r="N150" s="513"/>
      <c r="O150" s="505">
        <f t="shared" si="54"/>
        <v>0</v>
      </c>
      <c r="P150" s="505">
        <f t="shared" si="55"/>
        <v>0</v>
      </c>
      <c r="Q150" s="244"/>
      <c r="R150" s="244"/>
      <c r="S150" s="244"/>
      <c r="T150" s="244"/>
      <c r="U150" s="244"/>
    </row>
    <row r="151" spans="2:21" ht="12.5">
      <c r="B151" s="145" t="str">
        <f t="shared" si="27"/>
        <v/>
      </c>
      <c r="C151" s="496">
        <f>IF(D94="","-",+C150+1)</f>
        <v>2061</v>
      </c>
      <c r="D151" s="350">
        <f>IF(F150+SUM(E$100:E150)=D$93,F150,D$93-SUM(E$100:E150))</f>
        <v>0</v>
      </c>
      <c r="E151" s="510">
        <f>IF(+J97&lt;F150,J97,D151)</f>
        <v>0</v>
      </c>
      <c r="F151" s="511">
        <f t="shared" si="50"/>
        <v>0</v>
      </c>
      <c r="G151" s="511">
        <f t="shared" si="51"/>
        <v>0</v>
      </c>
      <c r="H151" s="645">
        <f t="shared" si="48"/>
        <v>0</v>
      </c>
      <c r="I151" s="573">
        <f t="shared" si="49"/>
        <v>0</v>
      </c>
      <c r="J151" s="505">
        <f t="shared" si="52"/>
        <v>0</v>
      </c>
      <c r="K151" s="505"/>
      <c r="L151" s="513"/>
      <c r="M151" s="505">
        <f t="shared" si="53"/>
        <v>0</v>
      </c>
      <c r="N151" s="513"/>
      <c r="O151" s="505">
        <f t="shared" si="54"/>
        <v>0</v>
      </c>
      <c r="P151" s="505">
        <f t="shared" si="55"/>
        <v>0</v>
      </c>
      <c r="Q151" s="244"/>
      <c r="R151" s="244"/>
      <c r="S151" s="244"/>
      <c r="T151" s="244"/>
      <c r="U151" s="244"/>
    </row>
    <row r="152" spans="2:21" ht="12.5">
      <c r="B152" s="145" t="str">
        <f t="shared" si="27"/>
        <v/>
      </c>
      <c r="C152" s="496">
        <f>IF(D94="","-",+C151+1)</f>
        <v>2062</v>
      </c>
      <c r="D152" s="350">
        <f>IF(F151+SUM(E$100:E151)=D$93,F151,D$93-SUM(E$100:E151))</f>
        <v>0</v>
      </c>
      <c r="E152" s="510">
        <f>IF(+J97&lt;F151,J97,D152)</f>
        <v>0</v>
      </c>
      <c r="F152" s="511">
        <f t="shared" si="50"/>
        <v>0</v>
      </c>
      <c r="G152" s="511">
        <f t="shared" si="51"/>
        <v>0</v>
      </c>
      <c r="H152" s="645">
        <f t="shared" si="48"/>
        <v>0</v>
      </c>
      <c r="I152" s="573">
        <f t="shared" si="49"/>
        <v>0</v>
      </c>
      <c r="J152" s="505">
        <f t="shared" si="52"/>
        <v>0</v>
      </c>
      <c r="K152" s="505"/>
      <c r="L152" s="513"/>
      <c r="M152" s="505">
        <f t="shared" si="53"/>
        <v>0</v>
      </c>
      <c r="N152" s="513"/>
      <c r="O152" s="505">
        <f t="shared" si="54"/>
        <v>0</v>
      </c>
      <c r="P152" s="505">
        <f t="shared" si="55"/>
        <v>0</v>
      </c>
      <c r="Q152" s="244"/>
      <c r="R152" s="244"/>
      <c r="S152" s="244"/>
      <c r="T152" s="244"/>
      <c r="U152" s="244"/>
    </row>
    <row r="153" spans="2:21" ht="12.5">
      <c r="B153" s="145" t="str">
        <f t="shared" si="27"/>
        <v/>
      </c>
      <c r="C153" s="496">
        <f>IF(D94="","-",+C152+1)</f>
        <v>2063</v>
      </c>
      <c r="D153" s="350">
        <f>IF(F152+SUM(E$100:E152)=D$93,F152,D$93-SUM(E$100:E152))</f>
        <v>0</v>
      </c>
      <c r="E153" s="510">
        <f>IF(+J97&lt;F152,J97,D153)</f>
        <v>0</v>
      </c>
      <c r="F153" s="511">
        <f t="shared" si="50"/>
        <v>0</v>
      </c>
      <c r="G153" s="511">
        <f t="shared" si="51"/>
        <v>0</v>
      </c>
      <c r="H153" s="645">
        <f t="shared" si="48"/>
        <v>0</v>
      </c>
      <c r="I153" s="573">
        <f t="shared" si="49"/>
        <v>0</v>
      </c>
      <c r="J153" s="505">
        <f t="shared" si="52"/>
        <v>0</v>
      </c>
      <c r="K153" s="505"/>
      <c r="L153" s="513"/>
      <c r="M153" s="505">
        <f t="shared" si="53"/>
        <v>0</v>
      </c>
      <c r="N153" s="513"/>
      <c r="O153" s="505">
        <f t="shared" si="54"/>
        <v>0</v>
      </c>
      <c r="P153" s="505">
        <f t="shared" si="55"/>
        <v>0</v>
      </c>
      <c r="Q153" s="244"/>
      <c r="R153" s="244"/>
      <c r="S153" s="244"/>
      <c r="T153" s="244"/>
      <c r="U153" s="244"/>
    </row>
    <row r="154" spans="2:21" ht="12.5">
      <c r="B154" s="145" t="str">
        <f t="shared" si="27"/>
        <v/>
      </c>
      <c r="C154" s="496">
        <f>IF(D94="","-",+C153+1)</f>
        <v>2064</v>
      </c>
      <c r="D154" s="350">
        <f>IF(F153+SUM(E$100:E153)=D$93,F153,D$93-SUM(E$100:E153))</f>
        <v>0</v>
      </c>
      <c r="E154" s="510">
        <f>IF(+J97&lt;F153,J97,D154)</f>
        <v>0</v>
      </c>
      <c r="F154" s="511">
        <f t="shared" si="50"/>
        <v>0</v>
      </c>
      <c r="G154" s="511">
        <f t="shared" si="51"/>
        <v>0</v>
      </c>
      <c r="H154" s="645">
        <f t="shared" si="48"/>
        <v>0</v>
      </c>
      <c r="I154" s="573">
        <f t="shared" si="49"/>
        <v>0</v>
      </c>
      <c r="J154" s="505">
        <f t="shared" si="52"/>
        <v>0</v>
      </c>
      <c r="K154" s="505"/>
      <c r="L154" s="513"/>
      <c r="M154" s="505">
        <f t="shared" si="53"/>
        <v>0</v>
      </c>
      <c r="N154" s="513"/>
      <c r="O154" s="505">
        <f t="shared" si="54"/>
        <v>0</v>
      </c>
      <c r="P154" s="505">
        <f t="shared" si="55"/>
        <v>0</v>
      </c>
      <c r="Q154" s="244"/>
      <c r="R154" s="244"/>
      <c r="S154" s="244"/>
      <c r="T154" s="244"/>
      <c r="U154" s="244"/>
    </row>
    <row r="155" spans="2:21" ht="13" thickBot="1">
      <c r="B155" s="145" t="str">
        <f t="shared" si="27"/>
        <v/>
      </c>
      <c r="C155" s="525">
        <f>IF(D94="","-",+C154+1)</f>
        <v>2065</v>
      </c>
      <c r="D155" s="528">
        <f>IF(F154+SUM(E$100:E154)=D$93,F154,D$93-SUM(E$100:E154))</f>
        <v>0</v>
      </c>
      <c r="E155" s="527">
        <f>IF(+J97&lt;F154,J97,D155)</f>
        <v>0</v>
      </c>
      <c r="F155" s="528">
        <f t="shared" si="50"/>
        <v>0</v>
      </c>
      <c r="G155" s="528">
        <f t="shared" si="51"/>
        <v>0</v>
      </c>
      <c r="H155" s="645">
        <f t="shared" si="48"/>
        <v>0</v>
      </c>
      <c r="I155" s="574">
        <f t="shared" si="49"/>
        <v>0</v>
      </c>
      <c r="J155" s="532">
        <f t="shared" si="52"/>
        <v>0</v>
      </c>
      <c r="K155" s="505"/>
      <c r="L155" s="531"/>
      <c r="M155" s="532">
        <f t="shared" si="53"/>
        <v>0</v>
      </c>
      <c r="N155" s="531"/>
      <c r="O155" s="532">
        <f t="shared" si="54"/>
        <v>0</v>
      </c>
      <c r="P155" s="532">
        <f t="shared" si="55"/>
        <v>0</v>
      </c>
      <c r="Q155" s="244"/>
      <c r="R155" s="244"/>
      <c r="S155" s="244"/>
      <c r="T155" s="244"/>
      <c r="U155" s="244"/>
    </row>
    <row r="156" spans="2:21" ht="12.5">
      <c r="C156" s="350" t="s">
        <v>75</v>
      </c>
      <c r="D156" s="295"/>
      <c r="E156" s="295">
        <f>SUM(E100:E155)</f>
        <v>985777</v>
      </c>
      <c r="F156" s="295"/>
      <c r="G156" s="295"/>
      <c r="H156" s="295">
        <f>SUM(H100:H155)</f>
        <v>2713794.6691352045</v>
      </c>
      <c r="I156" s="295">
        <f>SUM(I100:I155)</f>
        <v>2713794.6691352045</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57" priority="1" stopIfTrue="1" operator="equal">
      <formula>$I$10</formula>
    </cfRule>
  </conditionalFormatting>
  <conditionalFormatting sqref="C100:C155">
    <cfRule type="cellIs" dxfId="56"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dimension ref="A1:U163"/>
  <sheetViews>
    <sheetView topLeftCell="A74" zoomScaleNormal="100" zoomScaleSheetLayoutView="85"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8.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3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72051.357380752626</v>
      </c>
      <c r="P5" s="244"/>
      <c r="R5" s="244"/>
      <c r="S5" s="244"/>
      <c r="T5" s="244"/>
      <c r="U5" s="244"/>
    </row>
    <row r="6" spans="1:21" ht="15.5">
      <c r="C6" s="236"/>
      <c r="D6" s="293"/>
      <c r="E6" s="244"/>
      <c r="F6" s="244"/>
      <c r="G6" s="244"/>
      <c r="H6" s="450"/>
      <c r="I6" s="450"/>
      <c r="J6" s="451"/>
      <c r="K6" s="452" t="s">
        <v>243</v>
      </c>
      <c r="L6" s="453"/>
      <c r="M6" s="279"/>
      <c r="N6" s="454">
        <f>VLOOKUP(I10,C17:I73,6)</f>
        <v>72051.357380752626</v>
      </c>
      <c r="O6" s="244"/>
      <c r="P6" s="244"/>
      <c r="R6" s="244"/>
      <c r="S6" s="244"/>
      <c r="T6" s="244"/>
      <c r="U6" s="244"/>
    </row>
    <row r="7" spans="1:21" ht="13.5" thickBot="1">
      <c r="C7" s="455" t="s">
        <v>46</v>
      </c>
      <c r="D7" s="456" t="s">
        <v>199</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198</v>
      </c>
      <c r="E9" s="466"/>
      <c r="F9" s="466"/>
      <c r="G9" s="466"/>
      <c r="H9" s="466"/>
      <c r="I9" s="467"/>
      <c r="J9" s="468"/>
      <c r="O9" s="469"/>
      <c r="P9" s="279"/>
      <c r="R9" s="244"/>
      <c r="S9" s="244"/>
      <c r="T9" s="244"/>
      <c r="U9" s="244"/>
    </row>
    <row r="10" spans="1:21" ht="13">
      <c r="C10" s="470" t="s">
        <v>49</v>
      </c>
      <c r="D10" s="471">
        <v>614753</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2011</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10</v>
      </c>
      <c r="E12" s="473" t="s">
        <v>55</v>
      </c>
      <c r="F12" s="409"/>
      <c r="G12" s="221"/>
      <c r="H12" s="221"/>
      <c r="I12" s="477">
        <f>'OKT.WS.F.BPU.ATRR.Projected'!$F$78</f>
        <v>0.11475877389767174</v>
      </c>
      <c r="J12" s="579"/>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18628.878787878788</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49" si="0">IF(D17=F16,"","IU")</f>
        <v>IU</v>
      </c>
      <c r="C17" s="581">
        <f>IF(D11= "","-",D11)</f>
        <v>2011</v>
      </c>
      <c r="D17" s="497">
        <v>956000</v>
      </c>
      <c r="E17" s="498">
        <v>1378.1704053213118</v>
      </c>
      <c r="F17" s="497">
        <v>954621.82959467871</v>
      </c>
      <c r="G17" s="499">
        <v>125484.70184654166</v>
      </c>
      <c r="H17" s="500">
        <v>125484.70184654166</v>
      </c>
      <c r="I17" s="585">
        <f>H17-G17</f>
        <v>0</v>
      </c>
      <c r="J17" s="351"/>
      <c r="K17" s="507">
        <f t="shared" ref="K17:K22" si="1">G17</f>
        <v>125484.70184654166</v>
      </c>
      <c r="L17" s="586">
        <f t="shared" ref="L17:L49" si="2">IF(K17&lt;&gt;0,+G17-K17,0)</f>
        <v>0</v>
      </c>
      <c r="M17" s="507">
        <f t="shared" ref="M17:M22" si="3">H17</f>
        <v>125484.70184654166</v>
      </c>
      <c r="N17" s="587">
        <f t="shared" ref="N17:N49" si="4">IF(M17&lt;&gt;0,+H17-M17,0)</f>
        <v>0</v>
      </c>
      <c r="O17" s="505">
        <f t="shared" ref="O17:O49" si="5">+N17-L17</f>
        <v>0</v>
      </c>
      <c r="P17" s="279"/>
      <c r="R17" s="244"/>
      <c r="S17" s="244"/>
      <c r="T17" s="244"/>
      <c r="U17" s="244"/>
    </row>
    <row r="18" spans="2:21" ht="12.5">
      <c r="B18" s="145" t="str">
        <f t="shared" si="0"/>
        <v/>
      </c>
      <c r="C18" s="496">
        <f>IF(D11="","-",+C17+1)</f>
        <v>2012</v>
      </c>
      <c r="D18" s="506">
        <v>954621.82959467871</v>
      </c>
      <c r="E18" s="499">
        <v>10633.668760887396</v>
      </c>
      <c r="F18" s="506">
        <v>943988.16083379136</v>
      </c>
      <c r="G18" s="499">
        <v>101867.32341201812</v>
      </c>
      <c r="H18" s="500">
        <v>101867.32341201812</v>
      </c>
      <c r="I18" s="501">
        <v>0</v>
      </c>
      <c r="J18" s="351"/>
      <c r="K18" s="507">
        <f t="shared" si="1"/>
        <v>101867.32341201812</v>
      </c>
      <c r="L18" s="351">
        <f t="shared" si="2"/>
        <v>0</v>
      </c>
      <c r="M18" s="507">
        <f t="shared" si="3"/>
        <v>101867.32341201812</v>
      </c>
      <c r="N18" s="501">
        <f t="shared" si="4"/>
        <v>0</v>
      </c>
      <c r="O18" s="505">
        <f t="shared" si="5"/>
        <v>0</v>
      </c>
      <c r="P18" s="279"/>
      <c r="R18" s="244"/>
      <c r="S18" s="244"/>
      <c r="T18" s="244"/>
      <c r="U18" s="244"/>
    </row>
    <row r="19" spans="2:21" ht="12.5">
      <c r="B19" s="145" t="str">
        <f t="shared" si="0"/>
        <v>IU</v>
      </c>
      <c r="C19" s="496">
        <f>IF(D11="","-",+C18+1)</f>
        <v>2013</v>
      </c>
      <c r="D19" s="506">
        <v>602741.16083379125</v>
      </c>
      <c r="E19" s="499">
        <v>10634.741311914131</v>
      </c>
      <c r="F19" s="506">
        <v>592106.41952187708</v>
      </c>
      <c r="G19" s="499">
        <v>75317.164005617815</v>
      </c>
      <c r="H19" s="500">
        <v>75317.164005617815</v>
      </c>
      <c r="I19" s="501">
        <v>0</v>
      </c>
      <c r="J19" s="351"/>
      <c r="K19" s="507">
        <f t="shared" si="1"/>
        <v>75317.164005617815</v>
      </c>
      <c r="L19" s="351">
        <f t="shared" ref="L19:L24" si="6">IF(K19&lt;&gt;0,+G19-K19,0)</f>
        <v>0</v>
      </c>
      <c r="M19" s="507">
        <f t="shared" si="3"/>
        <v>75317.164005617815</v>
      </c>
      <c r="N19" s="501">
        <f>IF(M19&lt;&gt;0,+H19-M19,0)</f>
        <v>0</v>
      </c>
      <c r="O19" s="505">
        <f>+N19-L19</f>
        <v>0</v>
      </c>
      <c r="P19" s="279"/>
      <c r="R19" s="244"/>
      <c r="S19" s="244"/>
      <c r="T19" s="244"/>
      <c r="U19" s="244"/>
    </row>
    <row r="20" spans="2:21" ht="12.5">
      <c r="B20" s="145" t="str">
        <f t="shared" si="0"/>
        <v/>
      </c>
      <c r="C20" s="496">
        <f>IF(D11="","-",+C19+1)</f>
        <v>2014</v>
      </c>
      <c r="D20" s="506">
        <v>592106.41952187708</v>
      </c>
      <c r="E20" s="499">
        <v>10634.741311914131</v>
      </c>
      <c r="F20" s="506">
        <v>581471.67820996291</v>
      </c>
      <c r="G20" s="499">
        <v>74612.516014807363</v>
      </c>
      <c r="H20" s="500">
        <v>74612.516014807363</v>
      </c>
      <c r="I20" s="501">
        <v>0</v>
      </c>
      <c r="J20" s="351"/>
      <c r="K20" s="507">
        <f t="shared" si="1"/>
        <v>74612.516014807363</v>
      </c>
      <c r="L20" s="351">
        <f t="shared" si="6"/>
        <v>0</v>
      </c>
      <c r="M20" s="507">
        <f t="shared" si="3"/>
        <v>74612.516014807363</v>
      </c>
      <c r="N20" s="501">
        <f>IF(M20&lt;&gt;0,+H20-M20,0)</f>
        <v>0</v>
      </c>
      <c r="O20" s="505">
        <f>+N20-L20</f>
        <v>0</v>
      </c>
      <c r="P20" s="279"/>
      <c r="R20" s="244"/>
      <c r="S20" s="244"/>
      <c r="T20" s="244"/>
      <c r="U20" s="244"/>
    </row>
    <row r="21" spans="2:21" ht="12.5">
      <c r="B21" s="145" t="str">
        <f t="shared" si="0"/>
        <v/>
      </c>
      <c r="C21" s="496">
        <f>IF(D12="","-",+C20+1)</f>
        <v>2015</v>
      </c>
      <c r="D21" s="506">
        <v>581471.67820996291</v>
      </c>
      <c r="E21" s="499">
        <v>10634.741311914131</v>
      </c>
      <c r="F21" s="506">
        <v>570836.93689804873</v>
      </c>
      <c r="G21" s="499">
        <v>69468.300328468598</v>
      </c>
      <c r="H21" s="500">
        <v>69468.300328468569</v>
      </c>
      <c r="I21" s="501">
        <v>0</v>
      </c>
      <c r="J21" s="351"/>
      <c r="K21" s="507">
        <f t="shared" si="1"/>
        <v>69468.300328468598</v>
      </c>
      <c r="L21" s="351">
        <f t="shared" si="6"/>
        <v>0</v>
      </c>
      <c r="M21" s="507">
        <f t="shared" si="3"/>
        <v>69468.300328468569</v>
      </c>
      <c r="N21" s="501">
        <f>IF(M21&lt;&gt;0,+H21-M21,0)</f>
        <v>0</v>
      </c>
      <c r="O21" s="505">
        <f>+N21-L21</f>
        <v>0</v>
      </c>
      <c r="P21" s="279"/>
      <c r="R21" s="244"/>
      <c r="S21" s="244"/>
      <c r="T21" s="244"/>
      <c r="U21" s="244"/>
    </row>
    <row r="22" spans="2:21" ht="12.5">
      <c r="B22" s="145" t="str">
        <f t="shared" si="0"/>
        <v/>
      </c>
      <c r="C22" s="496">
        <f>IF(D11="","-",+C21+1)</f>
        <v>2016</v>
      </c>
      <c r="D22" s="506">
        <v>570836.93689804873</v>
      </c>
      <c r="E22" s="499">
        <v>12774.231778414165</v>
      </c>
      <c r="F22" s="506">
        <v>558062.70511963451</v>
      </c>
      <c r="G22" s="499">
        <v>72978.242931137109</v>
      </c>
      <c r="H22" s="500">
        <v>72978.242931137109</v>
      </c>
      <c r="I22" s="501">
        <f t="shared" ref="I22:I49" si="7">H22-G22</f>
        <v>0</v>
      </c>
      <c r="J22" s="501"/>
      <c r="K22" s="507">
        <f t="shared" si="1"/>
        <v>72978.242931137109</v>
      </c>
      <c r="L22" s="351">
        <f t="shared" si="6"/>
        <v>0</v>
      </c>
      <c r="M22" s="507">
        <f t="shared" si="3"/>
        <v>72978.242931137109</v>
      </c>
      <c r="N22" s="501">
        <f t="shared" si="4"/>
        <v>0</v>
      </c>
      <c r="O22" s="505">
        <f t="shared" si="5"/>
        <v>0</v>
      </c>
      <c r="P22" s="279"/>
      <c r="R22" s="244"/>
      <c r="S22" s="244"/>
      <c r="T22" s="244"/>
      <c r="U22" s="244"/>
    </row>
    <row r="23" spans="2:21" ht="12.5">
      <c r="B23" s="145" t="str">
        <f t="shared" si="0"/>
        <v/>
      </c>
      <c r="C23" s="496">
        <f>IF(D11="","-",+C22+1)</f>
        <v>2017</v>
      </c>
      <c r="D23" s="506">
        <v>558062.70511963451</v>
      </c>
      <c r="E23" s="499">
        <v>12087.261057971307</v>
      </c>
      <c r="F23" s="506">
        <v>545975.44406166323</v>
      </c>
      <c r="G23" s="499">
        <v>72776.222858216002</v>
      </c>
      <c r="H23" s="500">
        <v>72776.222858216002</v>
      </c>
      <c r="I23" s="501">
        <f t="shared" si="7"/>
        <v>0</v>
      </c>
      <c r="J23" s="501"/>
      <c r="K23" s="507">
        <f t="shared" ref="K23:K28" si="8">G23</f>
        <v>72776.222858216002</v>
      </c>
      <c r="L23" s="351">
        <f t="shared" si="6"/>
        <v>0</v>
      </c>
      <c r="M23" s="507">
        <f t="shared" ref="M23:M28" si="9">H23</f>
        <v>72776.222858216002</v>
      </c>
      <c r="N23" s="501">
        <f>IF(M23&lt;&gt;0,+H23-M23,0)</f>
        <v>0</v>
      </c>
      <c r="O23" s="505">
        <f>+N23-L23</f>
        <v>0</v>
      </c>
      <c r="P23" s="279"/>
      <c r="R23" s="244"/>
      <c r="S23" s="244"/>
      <c r="T23" s="244"/>
      <c r="U23" s="244"/>
    </row>
    <row r="24" spans="2:21" ht="12.5">
      <c r="B24" s="145" t="str">
        <f t="shared" si="0"/>
        <v/>
      </c>
      <c r="C24" s="496">
        <f>IF(D11="","-",+C23+1)</f>
        <v>2018</v>
      </c>
      <c r="D24" s="506">
        <v>545975.44406166323</v>
      </c>
      <c r="E24" s="499">
        <v>15076.56031908646</v>
      </c>
      <c r="F24" s="506">
        <v>530898.88374257681</v>
      </c>
      <c r="G24" s="499">
        <v>69794.510007934223</v>
      </c>
      <c r="H24" s="500">
        <v>69794.510007934223</v>
      </c>
      <c r="I24" s="501">
        <v>0</v>
      </c>
      <c r="J24" s="501"/>
      <c r="K24" s="507">
        <f t="shared" si="8"/>
        <v>69794.510007934223</v>
      </c>
      <c r="L24" s="351">
        <f t="shared" si="6"/>
        <v>0</v>
      </c>
      <c r="M24" s="507">
        <f t="shared" si="9"/>
        <v>69794.510007934223</v>
      </c>
      <c r="N24" s="501">
        <f>IF(M24&lt;&gt;0,+H24-M24,0)</f>
        <v>0</v>
      </c>
      <c r="O24" s="505">
        <f>+N24-L24</f>
        <v>0</v>
      </c>
      <c r="P24" s="279"/>
      <c r="R24" s="244"/>
      <c r="S24" s="244"/>
      <c r="T24" s="244"/>
      <c r="U24" s="244"/>
    </row>
    <row r="25" spans="2:21" ht="12.5">
      <c r="B25" s="145" t="str">
        <f t="shared" si="0"/>
        <v/>
      </c>
      <c r="C25" s="496">
        <f>IF(D11="","-",+C24+1)</f>
        <v>2019</v>
      </c>
      <c r="D25" s="506">
        <v>530898.88374257681</v>
      </c>
      <c r="E25" s="499">
        <v>18232.865121942861</v>
      </c>
      <c r="F25" s="506">
        <v>512666.01862063393</v>
      </c>
      <c r="G25" s="499">
        <v>72464.827452468948</v>
      </c>
      <c r="H25" s="500">
        <v>72464.827452468948</v>
      </c>
      <c r="I25" s="501">
        <f t="shared" si="7"/>
        <v>0</v>
      </c>
      <c r="J25" s="501"/>
      <c r="K25" s="507">
        <f t="shared" si="8"/>
        <v>72464.827452468948</v>
      </c>
      <c r="L25" s="351">
        <f t="shared" ref="L25" si="10">IF(K25&lt;&gt;0,+G25-K25,0)</f>
        <v>0</v>
      </c>
      <c r="M25" s="507">
        <f t="shared" si="9"/>
        <v>72464.827452468948</v>
      </c>
      <c r="N25" s="501">
        <f>IF(M25&lt;&gt;0,+H25-M25,0)</f>
        <v>0</v>
      </c>
      <c r="O25" s="505">
        <f>+N25-L25</f>
        <v>0</v>
      </c>
      <c r="P25" s="279"/>
      <c r="R25" s="244"/>
      <c r="S25" s="244"/>
      <c r="T25" s="244"/>
      <c r="U25" s="244"/>
    </row>
    <row r="26" spans="2:21" ht="12.5">
      <c r="B26" s="145" t="str">
        <f t="shared" si="0"/>
        <v>IU</v>
      </c>
      <c r="C26" s="496">
        <f>IF(D11="","-",+C25+1)</f>
        <v>2020</v>
      </c>
      <c r="D26" s="506">
        <v>515822.32342349034</v>
      </c>
      <c r="E26" s="499">
        <v>18001.062389209259</v>
      </c>
      <c r="F26" s="506">
        <v>497821.26103428105</v>
      </c>
      <c r="G26" s="499">
        <v>71183.123031214564</v>
      </c>
      <c r="H26" s="500">
        <v>71183.123031214564</v>
      </c>
      <c r="I26" s="501">
        <f t="shared" si="7"/>
        <v>0</v>
      </c>
      <c r="J26" s="501"/>
      <c r="K26" s="507">
        <f t="shared" si="8"/>
        <v>71183.123031214564</v>
      </c>
      <c r="L26" s="351">
        <f t="shared" ref="L26" si="11">IF(K26&lt;&gt;0,+G26-K26,0)</f>
        <v>0</v>
      </c>
      <c r="M26" s="507">
        <f t="shared" si="9"/>
        <v>71183.123031214564</v>
      </c>
      <c r="N26" s="505">
        <f t="shared" si="4"/>
        <v>0</v>
      </c>
      <c r="O26" s="505">
        <f t="shared" si="5"/>
        <v>0</v>
      </c>
      <c r="P26" s="279"/>
      <c r="R26" s="244"/>
      <c r="S26" s="244"/>
      <c r="T26" s="244"/>
      <c r="U26" s="244"/>
    </row>
    <row r="27" spans="2:21" ht="12.5">
      <c r="B27" s="145" t="str">
        <f t="shared" si="0"/>
        <v>IU</v>
      </c>
      <c r="C27" s="496">
        <f>IF(D11="","-",+C26+1)</f>
        <v>2021</v>
      </c>
      <c r="D27" s="506">
        <v>494664.95623142482</v>
      </c>
      <c r="E27" s="499">
        <v>19830.741935483871</v>
      </c>
      <c r="F27" s="506">
        <v>474834.21429594094</v>
      </c>
      <c r="G27" s="499">
        <v>72273.408385464543</v>
      </c>
      <c r="H27" s="500">
        <v>72273.408385464543</v>
      </c>
      <c r="I27" s="501">
        <f t="shared" si="7"/>
        <v>0</v>
      </c>
      <c r="J27" s="501"/>
      <c r="K27" s="507">
        <f t="shared" si="8"/>
        <v>72273.408385464543</v>
      </c>
      <c r="L27" s="351">
        <f t="shared" ref="L27" si="12">IF(K27&lt;&gt;0,+G27-K27,0)</f>
        <v>0</v>
      </c>
      <c r="M27" s="507">
        <f t="shared" si="9"/>
        <v>72273.408385464543</v>
      </c>
      <c r="N27" s="505">
        <f t="shared" si="4"/>
        <v>0</v>
      </c>
      <c r="O27" s="505">
        <f t="shared" si="5"/>
        <v>0</v>
      </c>
      <c r="P27" s="279"/>
      <c r="R27" s="244"/>
      <c r="S27" s="244"/>
      <c r="T27" s="244"/>
      <c r="U27" s="244"/>
    </row>
    <row r="28" spans="2:21" ht="12.5">
      <c r="B28" s="145" t="str">
        <f t="shared" si="0"/>
        <v/>
      </c>
      <c r="C28" s="496">
        <f>IF(D11="","-",+C27+1)</f>
        <v>2022</v>
      </c>
      <c r="D28" s="506">
        <v>474834.21429594094</v>
      </c>
      <c r="E28" s="499">
        <v>18628.878787878788</v>
      </c>
      <c r="F28" s="506">
        <v>456205.33550806215</v>
      </c>
      <c r="G28" s="499">
        <v>72051.357380752626</v>
      </c>
      <c r="H28" s="500">
        <v>72051.357380752626</v>
      </c>
      <c r="I28" s="501">
        <f t="shared" si="7"/>
        <v>0</v>
      </c>
      <c r="J28" s="501"/>
      <c r="K28" s="507">
        <f t="shared" si="8"/>
        <v>72051.357380752626</v>
      </c>
      <c r="L28" s="351">
        <f t="shared" ref="L28" si="13">IF(K28&lt;&gt;0,+G28-K28,0)</f>
        <v>0</v>
      </c>
      <c r="M28" s="507">
        <f t="shared" si="9"/>
        <v>72051.357380752626</v>
      </c>
      <c r="N28" s="505">
        <f t="shared" si="4"/>
        <v>0</v>
      </c>
      <c r="O28" s="505">
        <f t="shared" si="5"/>
        <v>0</v>
      </c>
      <c r="P28" s="279"/>
      <c r="R28" s="244"/>
      <c r="S28" s="244"/>
      <c r="T28" s="244"/>
      <c r="U28" s="244"/>
    </row>
    <row r="29" spans="2:21" ht="12.5">
      <c r="B29" s="145" t="str">
        <f t="shared" si="0"/>
        <v/>
      </c>
      <c r="C29" s="496">
        <f>IF(D11="","-",+C28+1)</f>
        <v>2023</v>
      </c>
      <c r="D29" s="506">
        <v>456205.33550806215</v>
      </c>
      <c r="E29" s="499">
        <v>19830.741935483871</v>
      </c>
      <c r="F29" s="506">
        <v>436374.59357257828</v>
      </c>
      <c r="G29" s="499">
        <v>70276.170801443019</v>
      </c>
      <c r="H29" s="500">
        <v>70276.170801443019</v>
      </c>
      <c r="I29" s="501">
        <f t="shared" si="7"/>
        <v>0</v>
      </c>
      <c r="J29" s="501"/>
      <c r="K29" s="507">
        <f t="shared" ref="K29" si="14">G29</f>
        <v>70276.170801443019</v>
      </c>
      <c r="L29" s="351">
        <f t="shared" ref="L29" si="15">IF(K29&lt;&gt;0,+G29-K29,0)</f>
        <v>0</v>
      </c>
      <c r="M29" s="507">
        <f t="shared" ref="M29" si="16">H29</f>
        <v>70276.170801443019</v>
      </c>
      <c r="N29" s="505">
        <f t="shared" si="4"/>
        <v>0</v>
      </c>
      <c r="O29" s="505">
        <f t="shared" si="5"/>
        <v>0</v>
      </c>
      <c r="P29" s="279"/>
      <c r="R29" s="244"/>
      <c r="S29" s="244"/>
      <c r="T29" s="244"/>
      <c r="U29" s="244"/>
    </row>
    <row r="30" spans="2:21" ht="12.5">
      <c r="B30" s="145" t="str">
        <f t="shared" si="0"/>
        <v/>
      </c>
      <c r="C30" s="496">
        <f>IF(D11="","-",+C29+1)</f>
        <v>2024</v>
      </c>
      <c r="D30" s="509">
        <f>IF(F29+SUM(E$17:E29)=D$10,F29,D$10-SUM(E$17:E29))</f>
        <v>436374.59357257828</v>
      </c>
      <c r="E30" s="510">
        <f>IF(+I14&lt;F29,I14,D30)</f>
        <v>18628.878787878788</v>
      </c>
      <c r="F30" s="511">
        <f t="shared" ref="F30:F50" si="17">+D30-E30</f>
        <v>417745.71478469949</v>
      </c>
      <c r="G30" s="512">
        <f t="shared" ref="G30:G73" si="18">(D30+F30)/2*I$12+E30</f>
        <v>67637.77846197004</v>
      </c>
      <c r="H30" s="478">
        <f t="shared" ref="H30:H73" si="19">+(D30+F30)/2*I$13+E30</f>
        <v>67637.77846197004</v>
      </c>
      <c r="I30" s="501">
        <f t="shared" si="7"/>
        <v>0</v>
      </c>
      <c r="J30" s="501"/>
      <c r="K30" s="513"/>
      <c r="L30" s="505">
        <f t="shared" si="2"/>
        <v>0</v>
      </c>
      <c r="M30" s="513"/>
      <c r="N30" s="505">
        <f t="shared" si="4"/>
        <v>0</v>
      </c>
      <c r="O30" s="505">
        <f t="shared" si="5"/>
        <v>0</v>
      </c>
      <c r="P30" s="279"/>
      <c r="R30" s="244"/>
      <c r="S30" s="244"/>
      <c r="T30" s="244"/>
      <c r="U30" s="244"/>
    </row>
    <row r="31" spans="2:21" ht="12.5">
      <c r="B31" s="145" t="str">
        <f t="shared" si="0"/>
        <v/>
      </c>
      <c r="C31" s="496">
        <f>IF(D11="","-",+C30+1)</f>
        <v>2025</v>
      </c>
      <c r="D31" s="509">
        <f>IF(F30+SUM(E$17:E30)=D$10,F30,D$10-SUM(E$17:E30))</f>
        <v>417745.71478469949</v>
      </c>
      <c r="E31" s="510">
        <f>IF(+I14&lt;F30,I14,D31)</f>
        <v>18628.878787878788</v>
      </c>
      <c r="F31" s="511">
        <f t="shared" si="17"/>
        <v>399116.83599682071</v>
      </c>
      <c r="G31" s="512">
        <f t="shared" si="18"/>
        <v>65499.951173184731</v>
      </c>
      <c r="H31" s="478">
        <f t="shared" si="19"/>
        <v>65499.951173184731</v>
      </c>
      <c r="I31" s="501">
        <f t="shared" si="7"/>
        <v>0</v>
      </c>
      <c r="J31" s="351"/>
      <c r="K31" s="513"/>
      <c r="L31" s="505">
        <f>IF(K31&lt;&gt;0,+G31-K31,0)</f>
        <v>0</v>
      </c>
      <c r="M31" s="513"/>
      <c r="N31" s="505">
        <f>IF(M31&lt;&gt;0,+H31-M31,0)</f>
        <v>0</v>
      </c>
      <c r="O31" s="505">
        <f>+N31-L31</f>
        <v>0</v>
      </c>
      <c r="P31" s="279"/>
      <c r="Q31" s="221"/>
      <c r="R31" s="279"/>
      <c r="S31" s="279"/>
      <c r="T31" s="279"/>
      <c r="U31" s="244"/>
    </row>
    <row r="32" spans="2:21" ht="12.5">
      <c r="B32" s="145" t="str">
        <f t="shared" si="0"/>
        <v/>
      </c>
      <c r="C32" s="496">
        <f>IF(D12="","-",+C31+1)</f>
        <v>2026</v>
      </c>
      <c r="D32" s="509">
        <f>IF(F31+SUM(E$17:E31)=D$10,F31,D$10-SUM(E$17:E31))</f>
        <v>399116.83599682071</v>
      </c>
      <c r="E32" s="510">
        <f>IF(+I14&lt;F31,I14,D32)</f>
        <v>18628.878787878788</v>
      </c>
      <c r="F32" s="511">
        <f>+D32-E32</f>
        <v>380487.95720894192</v>
      </c>
      <c r="G32" s="512">
        <f t="shared" si="18"/>
        <v>63362.123884399407</v>
      </c>
      <c r="H32" s="478">
        <f t="shared" si="19"/>
        <v>63362.123884399407</v>
      </c>
      <c r="I32" s="501">
        <f>H32-G32</f>
        <v>0</v>
      </c>
      <c r="J32" s="35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2027</v>
      </c>
      <c r="D33" s="509">
        <f>IF(F32+SUM(E$17:E32)=D$10,F32,D$10-SUM(E$17:E32))</f>
        <v>380487.95720894192</v>
      </c>
      <c r="E33" s="510">
        <f>IF(+I14&lt;F31,I14,D33)</f>
        <v>18628.878787878788</v>
      </c>
      <c r="F33" s="511">
        <f t="shared" si="17"/>
        <v>361859.07842106314</v>
      </c>
      <c r="G33" s="512">
        <f t="shared" si="18"/>
        <v>61224.296595614098</v>
      </c>
      <c r="H33" s="478">
        <f t="shared" si="19"/>
        <v>61224.296595614098</v>
      </c>
      <c r="I33" s="501">
        <f t="shared" si="7"/>
        <v>0</v>
      </c>
      <c r="J33" s="501"/>
      <c r="K33" s="513"/>
      <c r="L33" s="505">
        <f>IF(K33&lt;&gt;0,+G33-K33,0)</f>
        <v>0</v>
      </c>
      <c r="M33" s="513"/>
      <c r="N33" s="505">
        <f>IF(M33&lt;&gt;0,+H33-M33,0)</f>
        <v>0</v>
      </c>
      <c r="O33" s="505">
        <f>+N33-L33</f>
        <v>0</v>
      </c>
      <c r="P33" s="279"/>
      <c r="R33" s="244"/>
      <c r="S33" s="244"/>
      <c r="T33" s="244"/>
      <c r="U33" s="244"/>
    </row>
    <row r="34" spans="2:21" ht="12.5">
      <c r="B34" s="145" t="str">
        <f t="shared" si="0"/>
        <v/>
      </c>
      <c r="C34" s="496">
        <f>IF(D14="","-",+C33+1)</f>
        <v>2028</v>
      </c>
      <c r="D34" s="515">
        <f>IF(F33+SUM(E$17:E33)=D$10,F33,D$10-SUM(E$17:E33))</f>
        <v>361859.07842106314</v>
      </c>
      <c r="E34" s="516">
        <f>IF(+I14&lt;F33,I14,D34)</f>
        <v>18628.878787878788</v>
      </c>
      <c r="F34" s="517">
        <f t="shared" si="17"/>
        <v>343230.19963318435</v>
      </c>
      <c r="G34" s="518">
        <f t="shared" si="18"/>
        <v>59086.469306828774</v>
      </c>
      <c r="H34" s="519">
        <f t="shared" si="19"/>
        <v>59086.469306828774</v>
      </c>
      <c r="I34" s="520">
        <f t="shared" si="7"/>
        <v>0</v>
      </c>
      <c r="J34" s="520"/>
      <c r="K34" s="521"/>
      <c r="L34" s="522">
        <f t="shared" si="2"/>
        <v>0</v>
      </c>
      <c r="M34" s="521"/>
      <c r="N34" s="522">
        <f t="shared" si="4"/>
        <v>0</v>
      </c>
      <c r="O34" s="522">
        <f t="shared" si="5"/>
        <v>0</v>
      </c>
      <c r="P34" s="523"/>
      <c r="Q34" s="217"/>
      <c r="R34" s="523"/>
      <c r="S34" s="523"/>
      <c r="T34" s="523"/>
      <c r="U34" s="244"/>
    </row>
    <row r="35" spans="2:21" ht="12.5">
      <c r="B35" s="145" t="str">
        <f t="shared" si="0"/>
        <v/>
      </c>
      <c r="C35" s="496">
        <f>IF(D11="","-",+C34+1)</f>
        <v>2029</v>
      </c>
      <c r="D35" s="509">
        <f>IF(F34+SUM(E$17:E34)=D$10,F34,D$10-SUM(E$17:E34))</f>
        <v>343230.19963318435</v>
      </c>
      <c r="E35" s="510">
        <f>IF(+I14&lt;F34,I14,D35)</f>
        <v>18628.878787878788</v>
      </c>
      <c r="F35" s="511">
        <f t="shared" si="17"/>
        <v>324601.32084530557</v>
      </c>
      <c r="G35" s="512">
        <f t="shared" si="18"/>
        <v>56948.642018043465</v>
      </c>
      <c r="H35" s="478">
        <f t="shared" si="19"/>
        <v>56948.642018043465</v>
      </c>
      <c r="I35" s="501">
        <f t="shared" si="7"/>
        <v>0</v>
      </c>
      <c r="J35" s="501"/>
      <c r="K35" s="513"/>
      <c r="L35" s="505">
        <f t="shared" si="2"/>
        <v>0</v>
      </c>
      <c r="M35" s="513"/>
      <c r="N35" s="505">
        <f t="shared" si="4"/>
        <v>0</v>
      </c>
      <c r="O35" s="505">
        <f t="shared" si="5"/>
        <v>0</v>
      </c>
      <c r="P35" s="279"/>
      <c r="R35" s="244"/>
      <c r="S35" s="244"/>
      <c r="T35" s="244"/>
      <c r="U35" s="244"/>
    </row>
    <row r="36" spans="2:21" ht="12.5">
      <c r="B36" s="145" t="str">
        <f t="shared" si="0"/>
        <v/>
      </c>
      <c r="C36" s="496">
        <f>IF(D11="","-",+C35+1)</f>
        <v>2030</v>
      </c>
      <c r="D36" s="509">
        <f>IF(F35+SUM(E$17:E35)=D$10,F35,D$10-SUM(E$17:E35))</f>
        <v>324601.32084530557</v>
      </c>
      <c r="E36" s="510">
        <f>IF(+I14&lt;F35,I14,D36)</f>
        <v>18628.878787878788</v>
      </c>
      <c r="F36" s="511">
        <f t="shared" si="17"/>
        <v>305972.44205742679</v>
      </c>
      <c r="G36" s="512">
        <f t="shared" si="18"/>
        <v>54810.814729258156</v>
      </c>
      <c r="H36" s="478">
        <f t="shared" si="19"/>
        <v>54810.814729258156</v>
      </c>
      <c r="I36" s="501">
        <f t="shared" si="7"/>
        <v>0</v>
      </c>
      <c r="J36" s="501"/>
      <c r="K36" s="513"/>
      <c r="L36" s="505">
        <f t="shared" si="2"/>
        <v>0</v>
      </c>
      <c r="M36" s="513"/>
      <c r="N36" s="505">
        <f t="shared" si="4"/>
        <v>0</v>
      </c>
      <c r="O36" s="505">
        <f t="shared" si="5"/>
        <v>0</v>
      </c>
      <c r="P36" s="279"/>
      <c r="R36" s="244"/>
      <c r="S36" s="244"/>
      <c r="T36" s="244"/>
      <c r="U36" s="244"/>
    </row>
    <row r="37" spans="2:21" ht="12.5">
      <c r="B37" s="145" t="str">
        <f t="shared" si="0"/>
        <v/>
      </c>
      <c r="C37" s="496">
        <f>IF(D11="","-",+C36+1)</f>
        <v>2031</v>
      </c>
      <c r="D37" s="509">
        <f>IF(F36+SUM(E$17:E36)=D$10,F36,D$10-SUM(E$17:E36))</f>
        <v>305972.44205742679</v>
      </c>
      <c r="E37" s="510">
        <f>IF(+I14&lt;F36,I14,D37)</f>
        <v>18628.878787878788</v>
      </c>
      <c r="F37" s="511">
        <f t="shared" si="17"/>
        <v>287343.563269548</v>
      </c>
      <c r="G37" s="512">
        <f t="shared" si="18"/>
        <v>52672.987440472833</v>
      </c>
      <c r="H37" s="478">
        <f t="shared" si="19"/>
        <v>52672.987440472833</v>
      </c>
      <c r="I37" s="501">
        <f t="shared" si="7"/>
        <v>0</v>
      </c>
      <c r="J37" s="501"/>
      <c r="K37" s="513"/>
      <c r="L37" s="505">
        <f t="shared" si="2"/>
        <v>0</v>
      </c>
      <c r="M37" s="513"/>
      <c r="N37" s="505">
        <f t="shared" si="4"/>
        <v>0</v>
      </c>
      <c r="O37" s="505">
        <f t="shared" si="5"/>
        <v>0</v>
      </c>
      <c r="P37" s="279"/>
      <c r="R37" s="244"/>
      <c r="S37" s="244"/>
      <c r="T37" s="244"/>
      <c r="U37" s="244"/>
    </row>
    <row r="38" spans="2:21" ht="12.5">
      <c r="B38" s="145" t="str">
        <f t="shared" si="0"/>
        <v/>
      </c>
      <c r="C38" s="496">
        <f>IF(D11="","-",+C37+1)</f>
        <v>2032</v>
      </c>
      <c r="D38" s="509">
        <f>IF(F37+SUM(E$17:E37)=D$10,F37,D$10-SUM(E$17:E37))</f>
        <v>287343.563269548</v>
      </c>
      <c r="E38" s="510">
        <f>IF(+I14&lt;F37,I14,D38)</f>
        <v>18628.878787878788</v>
      </c>
      <c r="F38" s="511">
        <f t="shared" si="17"/>
        <v>268714.68448166922</v>
      </c>
      <c r="G38" s="512">
        <f t="shared" si="18"/>
        <v>50535.160151687523</v>
      </c>
      <c r="H38" s="478">
        <f t="shared" si="19"/>
        <v>50535.160151687523</v>
      </c>
      <c r="I38" s="501">
        <f t="shared" si="7"/>
        <v>0</v>
      </c>
      <c r="J38" s="501"/>
      <c r="K38" s="513"/>
      <c r="L38" s="505">
        <f t="shared" si="2"/>
        <v>0</v>
      </c>
      <c r="M38" s="513"/>
      <c r="N38" s="505">
        <f t="shared" si="4"/>
        <v>0</v>
      </c>
      <c r="O38" s="505">
        <f t="shared" si="5"/>
        <v>0</v>
      </c>
      <c r="P38" s="279"/>
      <c r="R38" s="244"/>
      <c r="S38" s="244"/>
      <c r="T38" s="244"/>
      <c r="U38" s="244"/>
    </row>
    <row r="39" spans="2:21" ht="12.5">
      <c r="B39" s="145" t="str">
        <f t="shared" si="0"/>
        <v/>
      </c>
      <c r="C39" s="496">
        <f>IF(D11="","-",+C38+1)</f>
        <v>2033</v>
      </c>
      <c r="D39" s="509">
        <f>IF(F38+SUM(E$17:E38)=D$10,F38,D$10-SUM(E$17:E38))</f>
        <v>268714.68448166922</v>
      </c>
      <c r="E39" s="510">
        <f>IF(+I14&lt;F38,I14,D39)</f>
        <v>18628.878787878788</v>
      </c>
      <c r="F39" s="511">
        <f t="shared" si="17"/>
        <v>250085.80569379043</v>
      </c>
      <c r="G39" s="512">
        <f t="shared" si="18"/>
        <v>48397.332862902207</v>
      </c>
      <c r="H39" s="478">
        <f t="shared" si="19"/>
        <v>48397.332862902207</v>
      </c>
      <c r="I39" s="501">
        <f t="shared" si="7"/>
        <v>0</v>
      </c>
      <c r="J39" s="501"/>
      <c r="K39" s="513"/>
      <c r="L39" s="505">
        <f t="shared" si="2"/>
        <v>0</v>
      </c>
      <c r="M39" s="513"/>
      <c r="N39" s="505">
        <f t="shared" si="4"/>
        <v>0</v>
      </c>
      <c r="O39" s="505">
        <f t="shared" si="5"/>
        <v>0</v>
      </c>
      <c r="P39" s="279"/>
      <c r="R39" s="244"/>
      <c r="S39" s="244"/>
      <c r="T39" s="244"/>
      <c r="U39" s="244"/>
    </row>
    <row r="40" spans="2:21" ht="12.5">
      <c r="B40" s="145" t="str">
        <f t="shared" si="0"/>
        <v/>
      </c>
      <c r="C40" s="496">
        <f>IF(D11="","-",+C39+1)</f>
        <v>2034</v>
      </c>
      <c r="D40" s="509">
        <f>IF(F39+SUM(E$17:E39)=D$10,F39,D$10-SUM(E$17:E39))</f>
        <v>250085.80569379043</v>
      </c>
      <c r="E40" s="510">
        <f>IF(+I14&lt;F39,I14,D40)</f>
        <v>18628.878787878788</v>
      </c>
      <c r="F40" s="511">
        <f t="shared" si="17"/>
        <v>231456.92690591165</v>
      </c>
      <c r="G40" s="512">
        <f t="shared" si="18"/>
        <v>46259.505574116891</v>
      </c>
      <c r="H40" s="478">
        <f t="shared" si="19"/>
        <v>46259.505574116891</v>
      </c>
      <c r="I40" s="501">
        <f t="shared" si="7"/>
        <v>0</v>
      </c>
      <c r="J40" s="501"/>
      <c r="K40" s="513"/>
      <c r="L40" s="505">
        <f t="shared" si="2"/>
        <v>0</v>
      </c>
      <c r="M40" s="513"/>
      <c r="N40" s="505">
        <f t="shared" si="4"/>
        <v>0</v>
      </c>
      <c r="O40" s="505">
        <f t="shared" si="5"/>
        <v>0</v>
      </c>
      <c r="P40" s="279"/>
      <c r="R40" s="244"/>
      <c r="S40" s="244"/>
      <c r="T40" s="244"/>
      <c r="U40" s="244"/>
    </row>
    <row r="41" spans="2:21" ht="12.5">
      <c r="B41" s="145" t="str">
        <f t="shared" si="0"/>
        <v/>
      </c>
      <c r="C41" s="496">
        <f>IF(D12="","-",+C40+1)</f>
        <v>2035</v>
      </c>
      <c r="D41" s="509">
        <f>IF(F40+SUM(E$17:E40)=D$10,F40,D$10-SUM(E$17:E40))</f>
        <v>231456.92690591165</v>
      </c>
      <c r="E41" s="510">
        <f>IF(+I14&lt;F40,I14,D41)</f>
        <v>18628.878787878788</v>
      </c>
      <c r="F41" s="511">
        <f t="shared" si="17"/>
        <v>212828.04811803286</v>
      </c>
      <c r="G41" s="512">
        <f t="shared" si="18"/>
        <v>44121.678285331582</v>
      </c>
      <c r="H41" s="478">
        <f t="shared" si="19"/>
        <v>44121.678285331582</v>
      </c>
      <c r="I41" s="501">
        <f t="shared" si="7"/>
        <v>0</v>
      </c>
      <c r="J41" s="501"/>
      <c r="K41" s="513"/>
      <c r="L41" s="505">
        <f t="shared" si="2"/>
        <v>0</v>
      </c>
      <c r="M41" s="513"/>
      <c r="N41" s="505">
        <f t="shared" si="4"/>
        <v>0</v>
      </c>
      <c r="O41" s="505">
        <f t="shared" si="5"/>
        <v>0</v>
      </c>
      <c r="P41" s="279"/>
      <c r="R41" s="244"/>
      <c r="S41" s="244"/>
      <c r="T41" s="244"/>
      <c r="U41" s="244"/>
    </row>
    <row r="42" spans="2:21" ht="12.5">
      <c r="B42" s="145" t="str">
        <f t="shared" si="0"/>
        <v/>
      </c>
      <c r="C42" s="496">
        <f>IF(D13="","-",+C41+1)</f>
        <v>2036</v>
      </c>
      <c r="D42" s="509">
        <f>IF(F41+SUM(E$17:E41)=D$10,F41,D$10-SUM(E$17:E41))</f>
        <v>212828.04811803286</v>
      </c>
      <c r="E42" s="510">
        <f>IF(+I14&lt;F41,I14,D42)</f>
        <v>18628.878787878788</v>
      </c>
      <c r="F42" s="511">
        <f t="shared" si="17"/>
        <v>194199.16933015408</v>
      </c>
      <c r="G42" s="512">
        <f t="shared" si="18"/>
        <v>41983.850996546265</v>
      </c>
      <c r="H42" s="478">
        <f t="shared" si="19"/>
        <v>41983.850996546265</v>
      </c>
      <c r="I42" s="501">
        <f t="shared" si="7"/>
        <v>0</v>
      </c>
      <c r="J42" s="501"/>
      <c r="K42" s="513"/>
      <c r="L42" s="505">
        <f t="shared" si="2"/>
        <v>0</v>
      </c>
      <c r="M42" s="513"/>
      <c r="N42" s="505">
        <f t="shared" si="4"/>
        <v>0</v>
      </c>
      <c r="O42" s="505">
        <f t="shared" si="5"/>
        <v>0</v>
      </c>
      <c r="P42" s="279"/>
      <c r="R42" s="244"/>
      <c r="S42" s="244"/>
      <c r="T42" s="244"/>
      <c r="U42" s="244"/>
    </row>
    <row r="43" spans="2:21" ht="12.5">
      <c r="B43" s="145" t="str">
        <f t="shared" si="0"/>
        <v/>
      </c>
      <c r="C43" s="496">
        <f>IF(D14="","-",+C42+1)</f>
        <v>2037</v>
      </c>
      <c r="D43" s="509">
        <f>IF(F42+SUM(E$17:E42)=D$10,F42,D$10-SUM(E$17:E42))</f>
        <v>194199.16933015408</v>
      </c>
      <c r="E43" s="510">
        <f>IF(+I14&lt;F42,I14,D43)</f>
        <v>18628.878787878788</v>
      </c>
      <c r="F43" s="511">
        <f t="shared" si="17"/>
        <v>175570.2905422753</v>
      </c>
      <c r="G43" s="512">
        <f t="shared" si="18"/>
        <v>39846.023707760949</v>
      </c>
      <c r="H43" s="478">
        <f t="shared" si="19"/>
        <v>39846.023707760949</v>
      </c>
      <c r="I43" s="501">
        <f t="shared" si="7"/>
        <v>0</v>
      </c>
      <c r="J43" s="501"/>
      <c r="K43" s="513"/>
      <c r="L43" s="505">
        <f t="shared" si="2"/>
        <v>0</v>
      </c>
      <c r="M43" s="513"/>
      <c r="N43" s="505">
        <f t="shared" si="4"/>
        <v>0</v>
      </c>
      <c r="O43" s="505">
        <f t="shared" si="5"/>
        <v>0</v>
      </c>
      <c r="P43" s="279"/>
      <c r="R43" s="244"/>
      <c r="S43" s="244"/>
      <c r="T43" s="244"/>
      <c r="U43" s="244"/>
    </row>
    <row r="44" spans="2:21" ht="12.5">
      <c r="B44" s="145" t="str">
        <f t="shared" si="0"/>
        <v/>
      </c>
      <c r="C44" s="496">
        <f>IF(D11="","-",+C43+1)</f>
        <v>2038</v>
      </c>
      <c r="D44" s="509">
        <f>IF(F43+SUM(E$17:E43)=D$10,F43,D$10-SUM(E$17:E43))</f>
        <v>175570.2905422753</v>
      </c>
      <c r="E44" s="510">
        <f>IF(+I14&lt;F43,I14,D44)</f>
        <v>18628.878787878788</v>
      </c>
      <c r="F44" s="511">
        <f t="shared" si="17"/>
        <v>156941.41175439651</v>
      </c>
      <c r="G44" s="512">
        <f t="shared" si="18"/>
        <v>37708.19641897564</v>
      </c>
      <c r="H44" s="478">
        <f t="shared" si="19"/>
        <v>37708.19641897564</v>
      </c>
      <c r="I44" s="501">
        <f t="shared" si="7"/>
        <v>0</v>
      </c>
      <c r="J44" s="501"/>
      <c r="K44" s="513"/>
      <c r="L44" s="505">
        <f t="shared" si="2"/>
        <v>0</v>
      </c>
      <c r="M44" s="513"/>
      <c r="N44" s="505">
        <f t="shared" si="4"/>
        <v>0</v>
      </c>
      <c r="O44" s="505">
        <f t="shared" si="5"/>
        <v>0</v>
      </c>
      <c r="P44" s="279"/>
      <c r="R44" s="244"/>
      <c r="S44" s="244"/>
      <c r="T44" s="244"/>
      <c r="U44" s="244"/>
    </row>
    <row r="45" spans="2:21" ht="12.5">
      <c r="B45" s="145" t="str">
        <f t="shared" si="0"/>
        <v/>
      </c>
      <c r="C45" s="496">
        <f>IF(D11="","-",+C44+1)</f>
        <v>2039</v>
      </c>
      <c r="D45" s="509">
        <f>IF(F44+SUM(E$17:E44)=D$10,F44,D$10-SUM(E$17:E44))</f>
        <v>156941.41175439651</v>
      </c>
      <c r="E45" s="510">
        <f>IF(+I14&lt;F44,I14,D45)</f>
        <v>18628.878787878788</v>
      </c>
      <c r="F45" s="511">
        <f t="shared" si="17"/>
        <v>138312.53296651773</v>
      </c>
      <c r="G45" s="512">
        <f t="shared" si="18"/>
        <v>35570.369130190316</v>
      </c>
      <c r="H45" s="478">
        <f t="shared" si="19"/>
        <v>35570.369130190316</v>
      </c>
      <c r="I45" s="501">
        <f t="shared" si="7"/>
        <v>0</v>
      </c>
      <c r="J45" s="501"/>
      <c r="K45" s="513"/>
      <c r="L45" s="505">
        <f t="shared" si="2"/>
        <v>0</v>
      </c>
      <c r="M45" s="513"/>
      <c r="N45" s="505">
        <f t="shared" si="4"/>
        <v>0</v>
      </c>
      <c r="O45" s="505">
        <f t="shared" si="5"/>
        <v>0</v>
      </c>
      <c r="P45" s="279"/>
      <c r="R45" s="244"/>
      <c r="S45" s="244"/>
      <c r="T45" s="244"/>
      <c r="U45" s="244"/>
    </row>
    <row r="46" spans="2:21" ht="12.5">
      <c r="B46" s="145" t="str">
        <f t="shared" si="0"/>
        <v/>
      </c>
      <c r="C46" s="496">
        <f>IF(D11="","-",+C45+1)</f>
        <v>2040</v>
      </c>
      <c r="D46" s="509">
        <f>IF(F45+SUM(E$17:E45)=D$10,F45,D$10-SUM(E$17:E45))</f>
        <v>138312.53296651773</v>
      </c>
      <c r="E46" s="510">
        <f>IF(+I14&lt;F45,I14,D46)</f>
        <v>18628.878787878788</v>
      </c>
      <c r="F46" s="511">
        <f t="shared" si="17"/>
        <v>119683.65417863894</v>
      </c>
      <c r="G46" s="512">
        <f t="shared" si="18"/>
        <v>33432.541841405007</v>
      </c>
      <c r="H46" s="478">
        <f t="shared" si="19"/>
        <v>33432.541841405007</v>
      </c>
      <c r="I46" s="501">
        <f t="shared" si="7"/>
        <v>0</v>
      </c>
      <c r="J46" s="501"/>
      <c r="K46" s="513"/>
      <c r="L46" s="505">
        <f t="shared" si="2"/>
        <v>0</v>
      </c>
      <c r="M46" s="513"/>
      <c r="N46" s="505">
        <f t="shared" si="4"/>
        <v>0</v>
      </c>
      <c r="O46" s="505">
        <f t="shared" si="5"/>
        <v>0</v>
      </c>
      <c r="P46" s="279"/>
      <c r="R46" s="244"/>
      <c r="S46" s="244"/>
      <c r="T46" s="244"/>
      <c r="U46" s="244"/>
    </row>
    <row r="47" spans="2:21" ht="12.5">
      <c r="B47" s="145" t="str">
        <f t="shared" si="0"/>
        <v/>
      </c>
      <c r="C47" s="496">
        <f>IF(D11="","-",+C46+1)</f>
        <v>2041</v>
      </c>
      <c r="D47" s="509">
        <f>IF(F46+SUM(E$17:E46)=D$10,F46,D$10-SUM(E$17:E46))</f>
        <v>119683.65417863894</v>
      </c>
      <c r="E47" s="510">
        <f>IF(+I14&lt;F46,I14,D47)</f>
        <v>18628.878787878788</v>
      </c>
      <c r="F47" s="511">
        <f t="shared" si="17"/>
        <v>101054.77539076016</v>
      </c>
      <c r="G47" s="512">
        <f t="shared" si="18"/>
        <v>31294.714552619691</v>
      </c>
      <c r="H47" s="478">
        <f t="shared" si="19"/>
        <v>31294.714552619691</v>
      </c>
      <c r="I47" s="501">
        <f t="shared" si="7"/>
        <v>0</v>
      </c>
      <c r="J47" s="501"/>
      <c r="K47" s="513"/>
      <c r="L47" s="505">
        <f t="shared" si="2"/>
        <v>0</v>
      </c>
      <c r="M47" s="513"/>
      <c r="N47" s="505">
        <f t="shared" si="4"/>
        <v>0</v>
      </c>
      <c r="O47" s="505">
        <f t="shared" si="5"/>
        <v>0</v>
      </c>
      <c r="P47" s="279"/>
      <c r="R47" s="244"/>
      <c r="S47" s="244"/>
      <c r="T47" s="244"/>
      <c r="U47" s="244"/>
    </row>
    <row r="48" spans="2:21" ht="12.5">
      <c r="B48" s="145" t="str">
        <f t="shared" si="0"/>
        <v/>
      </c>
      <c r="C48" s="496">
        <f>IF(D11="","-",+C47+1)</f>
        <v>2042</v>
      </c>
      <c r="D48" s="509">
        <f>IF(F47+SUM(E$17:E47)=D$10,F47,D$10-SUM(E$17:E47))</f>
        <v>101054.77539076016</v>
      </c>
      <c r="E48" s="510">
        <f>IF(+I14&lt;F47,I14,D48)</f>
        <v>18628.878787878788</v>
      </c>
      <c r="F48" s="511">
        <f t="shared" si="17"/>
        <v>82425.896602881374</v>
      </c>
      <c r="G48" s="512">
        <f t="shared" si="18"/>
        <v>29156.887263834378</v>
      </c>
      <c r="H48" s="478">
        <f t="shared" si="19"/>
        <v>29156.887263834378</v>
      </c>
      <c r="I48" s="501">
        <f t="shared" si="7"/>
        <v>0</v>
      </c>
      <c r="J48" s="501"/>
      <c r="K48" s="513"/>
      <c r="L48" s="505">
        <f t="shared" si="2"/>
        <v>0</v>
      </c>
      <c r="M48" s="513"/>
      <c r="N48" s="505">
        <f t="shared" si="4"/>
        <v>0</v>
      </c>
      <c r="O48" s="505">
        <f t="shared" si="5"/>
        <v>0</v>
      </c>
      <c r="P48" s="279"/>
      <c r="R48" s="244"/>
      <c r="S48" s="244"/>
      <c r="T48" s="244"/>
      <c r="U48" s="244"/>
    </row>
    <row r="49" spans="2:21" ht="12.5">
      <c r="B49" s="145" t="str">
        <f t="shared" si="0"/>
        <v/>
      </c>
      <c r="C49" s="496">
        <f>IF(D11="","-",+C48+1)</f>
        <v>2043</v>
      </c>
      <c r="D49" s="509">
        <f>IF(F48+SUM(E$17:E48)=D$10,F48,D$10-SUM(E$17:E48))</f>
        <v>82425.896602881374</v>
      </c>
      <c r="E49" s="510">
        <f>IF(+I14&lt;F48,I14,D49)</f>
        <v>18628.878787878788</v>
      </c>
      <c r="F49" s="511">
        <f t="shared" si="17"/>
        <v>63797.017815002589</v>
      </c>
      <c r="G49" s="512">
        <f t="shared" si="18"/>
        <v>27019.059975049066</v>
      </c>
      <c r="H49" s="478">
        <f t="shared" si="19"/>
        <v>27019.059975049066</v>
      </c>
      <c r="I49" s="501">
        <f t="shared" si="7"/>
        <v>0</v>
      </c>
      <c r="J49" s="501"/>
      <c r="K49" s="513"/>
      <c r="L49" s="505">
        <f t="shared" si="2"/>
        <v>0</v>
      </c>
      <c r="M49" s="513"/>
      <c r="N49" s="505">
        <f t="shared" si="4"/>
        <v>0</v>
      </c>
      <c r="O49" s="505">
        <f t="shared" si="5"/>
        <v>0</v>
      </c>
      <c r="P49" s="279"/>
      <c r="R49" s="244"/>
      <c r="S49" s="244"/>
      <c r="T49" s="244"/>
      <c r="U49" s="244"/>
    </row>
    <row r="50" spans="2:21" ht="12.5">
      <c r="B50" s="145" t="str">
        <f t="shared" ref="B50:B73" si="20">IF(D50=F49,"","IU")</f>
        <v/>
      </c>
      <c r="C50" s="496">
        <f>IF(D11="","-",+C49+1)</f>
        <v>2044</v>
      </c>
      <c r="D50" s="509">
        <f>IF(F49+SUM(E$17:E49)=D$10,F49,D$10-SUM(E$17:E49))</f>
        <v>63797.017815002589</v>
      </c>
      <c r="E50" s="510">
        <f>IF(+I14&lt;F49,I14,D50)</f>
        <v>18628.878787878788</v>
      </c>
      <c r="F50" s="511">
        <f t="shared" si="17"/>
        <v>45168.139027123805</v>
      </c>
      <c r="G50" s="512">
        <f t="shared" si="18"/>
        <v>24881.232686263749</v>
      </c>
      <c r="H50" s="478">
        <f t="shared" si="19"/>
        <v>24881.232686263749</v>
      </c>
      <c r="I50" s="501">
        <f t="shared" ref="I50:I73" si="21">H50-G50</f>
        <v>0</v>
      </c>
      <c r="J50" s="501"/>
      <c r="K50" s="513"/>
      <c r="L50" s="505">
        <f t="shared" ref="L50:L73" si="22">IF(K50&lt;&gt;0,+G50-K50,0)</f>
        <v>0</v>
      </c>
      <c r="M50" s="513"/>
      <c r="N50" s="505">
        <f t="shared" ref="N50:N73" si="23">IF(M50&lt;&gt;0,+H50-M50,0)</f>
        <v>0</v>
      </c>
      <c r="O50" s="505">
        <f t="shared" ref="O50:O73" si="24">+N50-L50</f>
        <v>0</v>
      </c>
      <c r="P50" s="279"/>
      <c r="R50" s="244"/>
      <c r="S50" s="244"/>
      <c r="T50" s="244"/>
      <c r="U50" s="244"/>
    </row>
    <row r="51" spans="2:21" ht="12.5">
      <c r="B51" s="145" t="str">
        <f t="shared" si="20"/>
        <v/>
      </c>
      <c r="C51" s="496">
        <f>IF(D11="","-",+C50+1)</f>
        <v>2045</v>
      </c>
      <c r="D51" s="509">
        <f>IF(F50+SUM(E$17:E50)=D$10,F50,D$10-SUM(E$17:E50))</f>
        <v>45168.139027123805</v>
      </c>
      <c r="E51" s="510">
        <f>IF(+I14&lt;F50,I14,D51)</f>
        <v>18628.878787878788</v>
      </c>
      <c r="F51" s="511">
        <f t="shared" ref="F51:F73" si="25">+D51-E51</f>
        <v>26539.260239245017</v>
      </c>
      <c r="G51" s="512">
        <f t="shared" si="18"/>
        <v>22743.405397478433</v>
      </c>
      <c r="H51" s="478">
        <f t="shared" si="19"/>
        <v>22743.405397478433</v>
      </c>
      <c r="I51" s="501">
        <f t="shared" si="21"/>
        <v>0</v>
      </c>
      <c r="J51" s="501"/>
      <c r="K51" s="513"/>
      <c r="L51" s="505">
        <f t="shared" si="22"/>
        <v>0</v>
      </c>
      <c r="M51" s="513"/>
      <c r="N51" s="505">
        <f t="shared" si="23"/>
        <v>0</v>
      </c>
      <c r="O51" s="505">
        <f t="shared" si="24"/>
        <v>0</v>
      </c>
      <c r="P51" s="279"/>
      <c r="R51" s="244"/>
      <c r="S51" s="244"/>
      <c r="T51" s="244"/>
      <c r="U51" s="244"/>
    </row>
    <row r="52" spans="2:21" ht="12.5">
      <c r="B52" s="145" t="str">
        <f t="shared" si="20"/>
        <v/>
      </c>
      <c r="C52" s="496">
        <f>IF(D11="","-",+C51+1)</f>
        <v>2046</v>
      </c>
      <c r="D52" s="509">
        <f>IF(F51+SUM(E$17:E51)=D$10,F51,D$10-SUM(E$17:E51))</f>
        <v>26539.260239245017</v>
      </c>
      <c r="E52" s="510">
        <f>IF(+I14&lt;F51,I14,D52)</f>
        <v>18628.878787878788</v>
      </c>
      <c r="F52" s="511">
        <f t="shared" si="25"/>
        <v>7910.3814513662292</v>
      </c>
      <c r="G52" s="512">
        <f t="shared" si="18"/>
        <v>20605.57810869312</v>
      </c>
      <c r="H52" s="478">
        <f t="shared" si="19"/>
        <v>20605.57810869312</v>
      </c>
      <c r="I52" s="501">
        <f t="shared" si="21"/>
        <v>0</v>
      </c>
      <c r="J52" s="501"/>
      <c r="K52" s="513"/>
      <c r="L52" s="505">
        <f t="shared" si="22"/>
        <v>0</v>
      </c>
      <c r="M52" s="513"/>
      <c r="N52" s="505">
        <f t="shared" si="23"/>
        <v>0</v>
      </c>
      <c r="O52" s="505">
        <f t="shared" si="24"/>
        <v>0</v>
      </c>
      <c r="P52" s="279"/>
      <c r="R52" s="244"/>
      <c r="S52" s="244"/>
      <c r="T52" s="244"/>
      <c r="U52" s="244"/>
    </row>
    <row r="53" spans="2:21" ht="12.5">
      <c r="B53" s="145" t="str">
        <f t="shared" si="20"/>
        <v/>
      </c>
      <c r="C53" s="496">
        <f>IF(D11="","-",+C52+1)</f>
        <v>2047</v>
      </c>
      <c r="D53" s="509">
        <f>IF(F52+SUM(E$17:E52)=D$10,F52,D$10-SUM(E$17:E52))</f>
        <v>7910.3814513662292</v>
      </c>
      <c r="E53" s="510">
        <f>IF(+I14&lt;F52,I14,D53)</f>
        <v>7910.3814513662292</v>
      </c>
      <c r="F53" s="511">
        <f t="shared" si="25"/>
        <v>0</v>
      </c>
      <c r="G53" s="512">
        <f t="shared" si="18"/>
        <v>8364.2742895770662</v>
      </c>
      <c r="H53" s="478">
        <f t="shared" si="19"/>
        <v>8364.2742895770662</v>
      </c>
      <c r="I53" s="501">
        <f t="shared" si="21"/>
        <v>0</v>
      </c>
      <c r="J53" s="501"/>
      <c r="K53" s="513"/>
      <c r="L53" s="505">
        <f t="shared" si="22"/>
        <v>0</v>
      </c>
      <c r="M53" s="513"/>
      <c r="N53" s="505">
        <f t="shared" si="23"/>
        <v>0</v>
      </c>
      <c r="O53" s="505">
        <f t="shared" si="24"/>
        <v>0</v>
      </c>
      <c r="P53" s="279"/>
      <c r="R53" s="244"/>
      <c r="S53" s="244"/>
      <c r="T53" s="244"/>
      <c r="U53" s="244"/>
    </row>
    <row r="54" spans="2:21" ht="12.5">
      <c r="B54" s="145" t="str">
        <f t="shared" si="20"/>
        <v/>
      </c>
      <c r="C54" s="496">
        <f>IF(D11="","-",+C53+1)</f>
        <v>2048</v>
      </c>
      <c r="D54" s="509">
        <f>IF(F53+SUM(E$17:E53)=D$10,F53,D$10-SUM(E$17:E53))</f>
        <v>0</v>
      </c>
      <c r="E54" s="510">
        <f>IF(+I14&lt;F53,I14,D54)</f>
        <v>0</v>
      </c>
      <c r="F54" s="511">
        <f t="shared" si="25"/>
        <v>0</v>
      </c>
      <c r="G54" s="512">
        <f t="shared" si="18"/>
        <v>0</v>
      </c>
      <c r="H54" s="478">
        <f t="shared" si="19"/>
        <v>0</v>
      </c>
      <c r="I54" s="501">
        <f t="shared" si="21"/>
        <v>0</v>
      </c>
      <c r="J54" s="501"/>
      <c r="K54" s="513"/>
      <c r="L54" s="505">
        <f t="shared" si="22"/>
        <v>0</v>
      </c>
      <c r="M54" s="513"/>
      <c r="N54" s="505">
        <f t="shared" si="23"/>
        <v>0</v>
      </c>
      <c r="O54" s="505">
        <f t="shared" si="24"/>
        <v>0</v>
      </c>
      <c r="P54" s="279"/>
      <c r="R54" s="244"/>
      <c r="S54" s="244"/>
      <c r="T54" s="244"/>
      <c r="U54" s="244"/>
    </row>
    <row r="55" spans="2:21" ht="12.5">
      <c r="B55" s="145" t="str">
        <f t="shared" si="20"/>
        <v/>
      </c>
      <c r="C55" s="496">
        <f>IF(D11="","-",+C54+1)</f>
        <v>2049</v>
      </c>
      <c r="D55" s="509">
        <f>IF(F54+SUM(E$17:E54)=D$10,F54,D$10-SUM(E$17:E54))</f>
        <v>0</v>
      </c>
      <c r="E55" s="510">
        <f>IF(+I14&lt;F54,I14,D55)</f>
        <v>0</v>
      </c>
      <c r="F55" s="511">
        <f t="shared" si="25"/>
        <v>0</v>
      </c>
      <c r="G55" s="512">
        <f t="shared" si="18"/>
        <v>0</v>
      </c>
      <c r="H55" s="478">
        <f t="shared" si="19"/>
        <v>0</v>
      </c>
      <c r="I55" s="501">
        <f t="shared" si="21"/>
        <v>0</v>
      </c>
      <c r="J55" s="501"/>
      <c r="K55" s="513"/>
      <c r="L55" s="505">
        <f t="shared" si="22"/>
        <v>0</v>
      </c>
      <c r="M55" s="513"/>
      <c r="N55" s="505">
        <f t="shared" si="23"/>
        <v>0</v>
      </c>
      <c r="O55" s="505">
        <f t="shared" si="24"/>
        <v>0</v>
      </c>
      <c r="P55" s="279"/>
      <c r="R55" s="244"/>
      <c r="S55" s="244"/>
      <c r="T55" s="244"/>
      <c r="U55" s="244"/>
    </row>
    <row r="56" spans="2:21" ht="12.5">
      <c r="B56" s="145" t="str">
        <f t="shared" si="20"/>
        <v/>
      </c>
      <c r="C56" s="496">
        <f>IF(D11="","-",+C55+1)</f>
        <v>2050</v>
      </c>
      <c r="D56" s="509">
        <f>IF(F55+SUM(E$17:E55)=D$10,F55,D$10-SUM(E$17:E55))</f>
        <v>0</v>
      </c>
      <c r="E56" s="510">
        <f>IF(+I14&lt;F55,I14,D56)</f>
        <v>0</v>
      </c>
      <c r="F56" s="511">
        <f t="shared" si="25"/>
        <v>0</v>
      </c>
      <c r="G56" s="512">
        <f t="shared" si="18"/>
        <v>0</v>
      </c>
      <c r="H56" s="478">
        <f t="shared" si="19"/>
        <v>0</v>
      </c>
      <c r="I56" s="501">
        <f t="shared" si="21"/>
        <v>0</v>
      </c>
      <c r="J56" s="501"/>
      <c r="K56" s="513"/>
      <c r="L56" s="505">
        <f t="shared" si="22"/>
        <v>0</v>
      </c>
      <c r="M56" s="513"/>
      <c r="N56" s="505">
        <f t="shared" si="23"/>
        <v>0</v>
      </c>
      <c r="O56" s="505">
        <f t="shared" si="24"/>
        <v>0</v>
      </c>
      <c r="P56" s="279"/>
      <c r="R56" s="244"/>
      <c r="S56" s="244"/>
      <c r="T56" s="244"/>
      <c r="U56" s="244"/>
    </row>
    <row r="57" spans="2:21" ht="12.5">
      <c r="B57" s="145" t="str">
        <f t="shared" si="20"/>
        <v/>
      </c>
      <c r="C57" s="496">
        <f>IF(D11="","-",+C56+1)</f>
        <v>2051</v>
      </c>
      <c r="D57" s="509">
        <f>IF(F56+SUM(E$17:E56)=D$10,F56,D$10-SUM(E$17:E56))</f>
        <v>0</v>
      </c>
      <c r="E57" s="510">
        <f>IF(+I14&lt;F56,I14,D57)</f>
        <v>0</v>
      </c>
      <c r="F57" s="511">
        <f t="shared" si="25"/>
        <v>0</v>
      </c>
      <c r="G57" s="512">
        <f t="shared" si="18"/>
        <v>0</v>
      </c>
      <c r="H57" s="478">
        <f t="shared" si="19"/>
        <v>0</v>
      </c>
      <c r="I57" s="501">
        <f t="shared" si="21"/>
        <v>0</v>
      </c>
      <c r="J57" s="501"/>
      <c r="K57" s="513"/>
      <c r="L57" s="505">
        <f t="shared" si="22"/>
        <v>0</v>
      </c>
      <c r="M57" s="513"/>
      <c r="N57" s="505">
        <f t="shared" si="23"/>
        <v>0</v>
      </c>
      <c r="O57" s="505">
        <f t="shared" si="24"/>
        <v>0</v>
      </c>
      <c r="P57" s="279"/>
      <c r="R57" s="244"/>
      <c r="S57" s="244"/>
      <c r="T57" s="244"/>
      <c r="U57" s="244"/>
    </row>
    <row r="58" spans="2:21" ht="12.5">
      <c r="B58" s="145" t="str">
        <f t="shared" si="20"/>
        <v/>
      </c>
      <c r="C58" s="496">
        <f>IF(D11="","-",+C57+1)</f>
        <v>2052</v>
      </c>
      <c r="D58" s="509">
        <f>IF(F57+SUM(E$17:E57)=D$10,F57,D$10-SUM(E$17:E57))</f>
        <v>0</v>
      </c>
      <c r="E58" s="510">
        <f>IF(+I14&lt;F57,I14,D58)</f>
        <v>0</v>
      </c>
      <c r="F58" s="511">
        <f t="shared" si="25"/>
        <v>0</v>
      </c>
      <c r="G58" s="512">
        <f t="shared" si="18"/>
        <v>0</v>
      </c>
      <c r="H58" s="478">
        <f t="shared" si="19"/>
        <v>0</v>
      </c>
      <c r="I58" s="501">
        <f t="shared" si="21"/>
        <v>0</v>
      </c>
      <c r="J58" s="501"/>
      <c r="K58" s="513"/>
      <c r="L58" s="505">
        <f t="shared" si="22"/>
        <v>0</v>
      </c>
      <c r="M58" s="513"/>
      <c r="N58" s="505">
        <f t="shared" si="23"/>
        <v>0</v>
      </c>
      <c r="O58" s="505">
        <f t="shared" si="24"/>
        <v>0</v>
      </c>
      <c r="P58" s="279"/>
      <c r="R58" s="244"/>
      <c r="S58" s="244"/>
      <c r="T58" s="244"/>
      <c r="U58" s="244"/>
    </row>
    <row r="59" spans="2:21" ht="12.5">
      <c r="B59" s="145" t="str">
        <f t="shared" si="20"/>
        <v/>
      </c>
      <c r="C59" s="496">
        <f>IF(D11="","-",+C58+1)</f>
        <v>2053</v>
      </c>
      <c r="D59" s="509">
        <f>IF(F58+SUM(E$17:E58)=D$10,F58,D$10-SUM(E$17:E58))</f>
        <v>0</v>
      </c>
      <c r="E59" s="510">
        <f>IF(+I14&lt;F58,I14,D59)</f>
        <v>0</v>
      </c>
      <c r="F59" s="511">
        <f t="shared" si="25"/>
        <v>0</v>
      </c>
      <c r="G59" s="512">
        <f t="shared" si="18"/>
        <v>0</v>
      </c>
      <c r="H59" s="478">
        <f t="shared" si="19"/>
        <v>0</v>
      </c>
      <c r="I59" s="501">
        <f t="shared" si="21"/>
        <v>0</v>
      </c>
      <c r="J59" s="501"/>
      <c r="K59" s="513"/>
      <c r="L59" s="505">
        <f t="shared" si="22"/>
        <v>0</v>
      </c>
      <c r="M59" s="513"/>
      <c r="N59" s="505">
        <f t="shared" si="23"/>
        <v>0</v>
      </c>
      <c r="O59" s="505">
        <f t="shared" si="24"/>
        <v>0</v>
      </c>
      <c r="P59" s="279"/>
      <c r="R59" s="244"/>
      <c r="S59" s="244"/>
      <c r="T59" s="244"/>
      <c r="U59" s="244"/>
    </row>
    <row r="60" spans="2:21" ht="12.5">
      <c r="B60" s="145" t="str">
        <f t="shared" si="20"/>
        <v/>
      </c>
      <c r="C60" s="496">
        <f>IF(D11="","-",+C59+1)</f>
        <v>2054</v>
      </c>
      <c r="D60" s="509">
        <f>IF(F59+SUM(E$17:E59)=D$10,F59,D$10-SUM(E$17:E59))</f>
        <v>0</v>
      </c>
      <c r="E60" s="510">
        <f>IF(+I14&lt;F59,I14,D60)</f>
        <v>0</v>
      </c>
      <c r="F60" s="511">
        <f t="shared" si="25"/>
        <v>0</v>
      </c>
      <c r="G60" s="512">
        <f t="shared" si="18"/>
        <v>0</v>
      </c>
      <c r="H60" s="478">
        <f t="shared" si="19"/>
        <v>0</v>
      </c>
      <c r="I60" s="501">
        <f t="shared" si="21"/>
        <v>0</v>
      </c>
      <c r="J60" s="501"/>
      <c r="K60" s="513"/>
      <c r="L60" s="505">
        <f t="shared" si="22"/>
        <v>0</v>
      </c>
      <c r="M60" s="513"/>
      <c r="N60" s="505">
        <f t="shared" si="23"/>
        <v>0</v>
      </c>
      <c r="O60" s="505">
        <f t="shared" si="24"/>
        <v>0</v>
      </c>
      <c r="P60" s="279"/>
      <c r="R60" s="244"/>
      <c r="S60" s="244"/>
      <c r="T60" s="244"/>
      <c r="U60" s="244"/>
    </row>
    <row r="61" spans="2:21" ht="12.5">
      <c r="B61" s="145" t="str">
        <f t="shared" si="20"/>
        <v/>
      </c>
      <c r="C61" s="496">
        <f>IF(D11="","-",+C60+1)</f>
        <v>2055</v>
      </c>
      <c r="D61" s="509">
        <f>IF(F60+SUM(E$17:E60)=D$10,F60,D$10-SUM(E$17:E60))</f>
        <v>0</v>
      </c>
      <c r="E61" s="510">
        <f>IF(+I14&lt;F60,I14,D61)</f>
        <v>0</v>
      </c>
      <c r="F61" s="511">
        <f t="shared" si="25"/>
        <v>0</v>
      </c>
      <c r="G61" s="512">
        <f t="shared" si="18"/>
        <v>0</v>
      </c>
      <c r="H61" s="478">
        <f t="shared" si="19"/>
        <v>0</v>
      </c>
      <c r="I61" s="501">
        <f t="shared" si="21"/>
        <v>0</v>
      </c>
      <c r="J61" s="501"/>
      <c r="K61" s="513"/>
      <c r="L61" s="505">
        <f t="shared" si="22"/>
        <v>0</v>
      </c>
      <c r="M61" s="513"/>
      <c r="N61" s="505">
        <f t="shared" si="23"/>
        <v>0</v>
      </c>
      <c r="O61" s="505">
        <f t="shared" si="24"/>
        <v>0</v>
      </c>
      <c r="P61" s="279"/>
      <c r="R61" s="244"/>
      <c r="S61" s="244"/>
      <c r="T61" s="244"/>
      <c r="U61" s="244"/>
    </row>
    <row r="62" spans="2:21" ht="12.5">
      <c r="B62" s="145" t="str">
        <f t="shared" si="20"/>
        <v/>
      </c>
      <c r="C62" s="496">
        <f>IF(D11="","-",+C61+1)</f>
        <v>2056</v>
      </c>
      <c r="D62" s="509">
        <f>IF(F61+SUM(E$17:E61)=D$10,F61,D$10-SUM(E$17:E61))</f>
        <v>0</v>
      </c>
      <c r="E62" s="510">
        <f>IF(+I14&lt;F61,I14,D62)</f>
        <v>0</v>
      </c>
      <c r="F62" s="511">
        <f t="shared" si="25"/>
        <v>0</v>
      </c>
      <c r="G62" s="524">
        <f t="shared" si="18"/>
        <v>0</v>
      </c>
      <c r="H62" s="478">
        <f t="shared" si="19"/>
        <v>0</v>
      </c>
      <c r="I62" s="501">
        <f t="shared" si="21"/>
        <v>0</v>
      </c>
      <c r="J62" s="501"/>
      <c r="K62" s="513"/>
      <c r="L62" s="505">
        <f t="shared" si="22"/>
        <v>0</v>
      </c>
      <c r="M62" s="513"/>
      <c r="N62" s="505">
        <f t="shared" si="23"/>
        <v>0</v>
      </c>
      <c r="O62" s="505">
        <f t="shared" si="24"/>
        <v>0</v>
      </c>
      <c r="P62" s="279"/>
      <c r="R62" s="244"/>
      <c r="S62" s="244"/>
      <c r="T62" s="244"/>
      <c r="U62" s="244"/>
    </row>
    <row r="63" spans="2:21" ht="12.5">
      <c r="B63" s="145" t="str">
        <f t="shared" si="20"/>
        <v/>
      </c>
      <c r="C63" s="496">
        <f>IF(D11="","-",+C62+1)</f>
        <v>2057</v>
      </c>
      <c r="D63" s="509">
        <f>IF(F62+SUM(E$17:E62)=D$10,F62,D$10-SUM(E$17:E62))</f>
        <v>0</v>
      </c>
      <c r="E63" s="510">
        <f>IF(+I14&lt;F62,I14,D63)</f>
        <v>0</v>
      </c>
      <c r="F63" s="511">
        <f t="shared" si="25"/>
        <v>0</v>
      </c>
      <c r="G63" s="524">
        <f t="shared" si="18"/>
        <v>0</v>
      </c>
      <c r="H63" s="478">
        <f t="shared" si="19"/>
        <v>0</v>
      </c>
      <c r="I63" s="501">
        <f t="shared" si="21"/>
        <v>0</v>
      </c>
      <c r="J63" s="501"/>
      <c r="K63" s="513"/>
      <c r="L63" s="505">
        <f t="shared" si="22"/>
        <v>0</v>
      </c>
      <c r="M63" s="513"/>
      <c r="N63" s="505">
        <f t="shared" si="23"/>
        <v>0</v>
      </c>
      <c r="O63" s="505">
        <f t="shared" si="24"/>
        <v>0</v>
      </c>
      <c r="P63" s="279"/>
      <c r="R63" s="244"/>
      <c r="S63" s="244"/>
      <c r="T63" s="244"/>
      <c r="U63" s="244"/>
    </row>
    <row r="64" spans="2:21" ht="12.5">
      <c r="B64" s="145" t="str">
        <f t="shared" si="20"/>
        <v/>
      </c>
      <c r="C64" s="496">
        <f>IF(D11="","-",+C63+1)</f>
        <v>2058</v>
      </c>
      <c r="D64" s="509">
        <f>IF(F63+SUM(E$17:E63)=D$10,F63,D$10-SUM(E$17:E63))</f>
        <v>0</v>
      </c>
      <c r="E64" s="510">
        <f>IF(+I14&lt;F63,I14,D64)</f>
        <v>0</v>
      </c>
      <c r="F64" s="511">
        <f t="shared" si="25"/>
        <v>0</v>
      </c>
      <c r="G64" s="524">
        <f t="shared" si="18"/>
        <v>0</v>
      </c>
      <c r="H64" s="478">
        <f t="shared" si="19"/>
        <v>0</v>
      </c>
      <c r="I64" s="501">
        <f t="shared" si="21"/>
        <v>0</v>
      </c>
      <c r="J64" s="501"/>
      <c r="K64" s="513"/>
      <c r="L64" s="505">
        <f t="shared" si="22"/>
        <v>0</v>
      </c>
      <c r="M64" s="513"/>
      <c r="N64" s="505">
        <f t="shared" si="23"/>
        <v>0</v>
      </c>
      <c r="O64" s="505">
        <f t="shared" si="24"/>
        <v>0</v>
      </c>
      <c r="P64" s="279"/>
      <c r="R64" s="244"/>
      <c r="S64" s="244"/>
      <c r="T64" s="244"/>
      <c r="U64" s="244"/>
    </row>
    <row r="65" spans="2:21" ht="12.5">
      <c r="B65" s="145" t="str">
        <f t="shared" si="20"/>
        <v/>
      </c>
      <c r="C65" s="496">
        <f>IF(D11="","-",+C64+1)</f>
        <v>2059</v>
      </c>
      <c r="D65" s="509">
        <f>IF(F64+SUM(E$17:E64)=D$10,F64,D$10-SUM(E$17:E64))</f>
        <v>0</v>
      </c>
      <c r="E65" s="510">
        <f>IF(+I14&lt;F64,I14,D65)</f>
        <v>0</v>
      </c>
      <c r="F65" s="511">
        <f t="shared" si="25"/>
        <v>0</v>
      </c>
      <c r="G65" s="524">
        <f t="shared" si="18"/>
        <v>0</v>
      </c>
      <c r="H65" s="478">
        <f t="shared" si="19"/>
        <v>0</v>
      </c>
      <c r="I65" s="501">
        <f t="shared" si="21"/>
        <v>0</v>
      </c>
      <c r="J65" s="501"/>
      <c r="K65" s="513"/>
      <c r="L65" s="505">
        <f t="shared" si="22"/>
        <v>0</v>
      </c>
      <c r="M65" s="513"/>
      <c r="N65" s="505">
        <f t="shared" si="23"/>
        <v>0</v>
      </c>
      <c r="O65" s="505">
        <f t="shared" si="24"/>
        <v>0</v>
      </c>
      <c r="P65" s="279"/>
      <c r="R65" s="244"/>
      <c r="S65" s="244"/>
      <c r="T65" s="244"/>
      <c r="U65" s="244"/>
    </row>
    <row r="66" spans="2:21" ht="12.5">
      <c r="B66" s="145" t="str">
        <f t="shared" si="20"/>
        <v/>
      </c>
      <c r="C66" s="496">
        <f>IF(D11="","-",+C65+1)</f>
        <v>2060</v>
      </c>
      <c r="D66" s="509">
        <f>IF(F65+SUM(E$17:E65)=D$10,F65,D$10-SUM(E$17:E65))</f>
        <v>0</v>
      </c>
      <c r="E66" s="510">
        <f>IF(+I14&lt;F65,I14,D66)</f>
        <v>0</v>
      </c>
      <c r="F66" s="511">
        <f t="shared" si="25"/>
        <v>0</v>
      </c>
      <c r="G66" s="524">
        <f t="shared" si="18"/>
        <v>0</v>
      </c>
      <c r="H66" s="478">
        <f t="shared" si="19"/>
        <v>0</v>
      </c>
      <c r="I66" s="501">
        <f t="shared" si="21"/>
        <v>0</v>
      </c>
      <c r="J66" s="501"/>
      <c r="K66" s="513"/>
      <c r="L66" s="505">
        <f t="shared" si="22"/>
        <v>0</v>
      </c>
      <c r="M66" s="513"/>
      <c r="N66" s="505">
        <f t="shared" si="23"/>
        <v>0</v>
      </c>
      <c r="O66" s="505">
        <f t="shared" si="24"/>
        <v>0</v>
      </c>
      <c r="P66" s="279"/>
      <c r="R66" s="244"/>
      <c r="S66" s="244"/>
      <c r="T66" s="244"/>
      <c r="U66" s="244"/>
    </row>
    <row r="67" spans="2:21" ht="12.5">
      <c r="B67" s="145" t="str">
        <f t="shared" si="20"/>
        <v/>
      </c>
      <c r="C67" s="496">
        <f>IF(D11="","-",+C66+1)</f>
        <v>2061</v>
      </c>
      <c r="D67" s="509">
        <f>IF(F66+SUM(E$17:E66)=D$10,F66,D$10-SUM(E$17:E66))</f>
        <v>0</v>
      </c>
      <c r="E67" s="510">
        <f>IF(+I14&lt;F66,I14,D67)</f>
        <v>0</v>
      </c>
      <c r="F67" s="511">
        <f t="shared" si="25"/>
        <v>0</v>
      </c>
      <c r="G67" s="524">
        <f t="shared" si="18"/>
        <v>0</v>
      </c>
      <c r="H67" s="478">
        <f t="shared" si="19"/>
        <v>0</v>
      </c>
      <c r="I67" s="501">
        <f t="shared" si="21"/>
        <v>0</v>
      </c>
      <c r="J67" s="501"/>
      <c r="K67" s="513"/>
      <c r="L67" s="505">
        <f t="shared" si="22"/>
        <v>0</v>
      </c>
      <c r="M67" s="513"/>
      <c r="N67" s="505">
        <f t="shared" si="23"/>
        <v>0</v>
      </c>
      <c r="O67" s="505">
        <f t="shared" si="24"/>
        <v>0</v>
      </c>
      <c r="P67" s="279"/>
      <c r="R67" s="244"/>
      <c r="S67" s="244"/>
      <c r="T67" s="244"/>
      <c r="U67" s="244"/>
    </row>
    <row r="68" spans="2:21" ht="12.5">
      <c r="B68" s="145" t="str">
        <f t="shared" si="20"/>
        <v/>
      </c>
      <c r="C68" s="496">
        <f>IF(D11="","-",+C67+1)</f>
        <v>2062</v>
      </c>
      <c r="D68" s="509">
        <f>IF(F67+SUM(E$17:E67)=D$10,F67,D$10-SUM(E$17:E67))</f>
        <v>0</v>
      </c>
      <c r="E68" s="510">
        <f>IF(+I14&lt;F67,I14,D68)</f>
        <v>0</v>
      </c>
      <c r="F68" s="511">
        <f t="shared" si="25"/>
        <v>0</v>
      </c>
      <c r="G68" s="524">
        <f t="shared" si="18"/>
        <v>0</v>
      </c>
      <c r="H68" s="478">
        <f t="shared" si="19"/>
        <v>0</v>
      </c>
      <c r="I68" s="501">
        <f t="shared" si="21"/>
        <v>0</v>
      </c>
      <c r="J68" s="501"/>
      <c r="K68" s="513"/>
      <c r="L68" s="505">
        <f t="shared" si="22"/>
        <v>0</v>
      </c>
      <c r="M68" s="513"/>
      <c r="N68" s="505">
        <f t="shared" si="23"/>
        <v>0</v>
      </c>
      <c r="O68" s="505">
        <f t="shared" si="24"/>
        <v>0</v>
      </c>
      <c r="P68" s="279"/>
      <c r="R68" s="244"/>
      <c r="S68" s="244"/>
      <c r="T68" s="244"/>
      <c r="U68" s="244"/>
    </row>
    <row r="69" spans="2:21" ht="12.5">
      <c r="B69" s="145" t="str">
        <f t="shared" si="20"/>
        <v/>
      </c>
      <c r="C69" s="496">
        <f>IF(D11="","-",+C68+1)</f>
        <v>2063</v>
      </c>
      <c r="D69" s="509">
        <f>IF(F68+SUM(E$17:E68)=D$10,F68,D$10-SUM(E$17:E68))</f>
        <v>0</v>
      </c>
      <c r="E69" s="510">
        <f>IF(+I14&lt;F68,I14,D69)</f>
        <v>0</v>
      </c>
      <c r="F69" s="511">
        <f t="shared" si="25"/>
        <v>0</v>
      </c>
      <c r="G69" s="524">
        <f t="shared" si="18"/>
        <v>0</v>
      </c>
      <c r="H69" s="478">
        <f t="shared" si="19"/>
        <v>0</v>
      </c>
      <c r="I69" s="501">
        <f t="shared" si="21"/>
        <v>0</v>
      </c>
      <c r="J69" s="501"/>
      <c r="K69" s="513"/>
      <c r="L69" s="505">
        <f t="shared" si="22"/>
        <v>0</v>
      </c>
      <c r="M69" s="513"/>
      <c r="N69" s="505">
        <f t="shared" si="23"/>
        <v>0</v>
      </c>
      <c r="O69" s="505">
        <f t="shared" si="24"/>
        <v>0</v>
      </c>
      <c r="P69" s="279"/>
      <c r="R69" s="244"/>
      <c r="S69" s="244"/>
      <c r="T69" s="244"/>
      <c r="U69" s="244"/>
    </row>
    <row r="70" spans="2:21" ht="12.5">
      <c r="B70" s="145" t="str">
        <f t="shared" si="20"/>
        <v/>
      </c>
      <c r="C70" s="496">
        <f>IF(D11="","-",+C69+1)</f>
        <v>2064</v>
      </c>
      <c r="D70" s="509">
        <f>IF(F69+SUM(E$17:E69)=D$10,F69,D$10-SUM(E$17:E69))</f>
        <v>0</v>
      </c>
      <c r="E70" s="510">
        <f>IF(+I14&lt;F69,I14,D70)</f>
        <v>0</v>
      </c>
      <c r="F70" s="511">
        <f t="shared" si="25"/>
        <v>0</v>
      </c>
      <c r="G70" s="524">
        <f t="shared" si="18"/>
        <v>0</v>
      </c>
      <c r="H70" s="478">
        <f t="shared" si="19"/>
        <v>0</v>
      </c>
      <c r="I70" s="501">
        <f t="shared" si="21"/>
        <v>0</v>
      </c>
      <c r="J70" s="501"/>
      <c r="K70" s="513"/>
      <c r="L70" s="505">
        <f t="shared" si="22"/>
        <v>0</v>
      </c>
      <c r="M70" s="513"/>
      <c r="N70" s="505">
        <f t="shared" si="23"/>
        <v>0</v>
      </c>
      <c r="O70" s="505">
        <f t="shared" si="24"/>
        <v>0</v>
      </c>
      <c r="P70" s="279"/>
      <c r="R70" s="244"/>
      <c r="S70" s="244"/>
      <c r="T70" s="244"/>
      <c r="U70" s="244"/>
    </row>
    <row r="71" spans="2:21" ht="12.5">
      <c r="B71" s="145" t="str">
        <f t="shared" si="20"/>
        <v/>
      </c>
      <c r="C71" s="496">
        <f>IF(D11="","-",+C70+1)</f>
        <v>2065</v>
      </c>
      <c r="D71" s="509">
        <f>IF(F70+SUM(E$17:E70)=D$10,F70,D$10-SUM(E$17:E70))</f>
        <v>0</v>
      </c>
      <c r="E71" s="510">
        <f>IF(+I14&lt;F70,I14,D71)</f>
        <v>0</v>
      </c>
      <c r="F71" s="511">
        <f t="shared" si="25"/>
        <v>0</v>
      </c>
      <c r="G71" s="524">
        <f t="shared" si="18"/>
        <v>0</v>
      </c>
      <c r="H71" s="478">
        <f t="shared" si="19"/>
        <v>0</v>
      </c>
      <c r="I71" s="501">
        <f t="shared" si="21"/>
        <v>0</v>
      </c>
      <c r="J71" s="501"/>
      <c r="K71" s="513"/>
      <c r="L71" s="505">
        <f t="shared" si="22"/>
        <v>0</v>
      </c>
      <c r="M71" s="513"/>
      <c r="N71" s="505">
        <f t="shared" si="23"/>
        <v>0</v>
      </c>
      <c r="O71" s="505">
        <f t="shared" si="24"/>
        <v>0</v>
      </c>
      <c r="P71" s="279"/>
      <c r="R71" s="244"/>
      <c r="S71" s="244"/>
      <c r="T71" s="244"/>
      <c r="U71" s="244"/>
    </row>
    <row r="72" spans="2:21" ht="12.5">
      <c r="B72" s="145" t="str">
        <f t="shared" si="20"/>
        <v/>
      </c>
      <c r="C72" s="496">
        <f>IF(D11="","-",+C71+1)</f>
        <v>2066</v>
      </c>
      <c r="D72" s="509">
        <f>IF(F71+SUM(E$17:E71)=D$10,F71,D$10-SUM(E$17:E71))</f>
        <v>0</v>
      </c>
      <c r="E72" s="510">
        <f>IF(+I14&lt;F71,I14,D72)</f>
        <v>0</v>
      </c>
      <c r="F72" s="511">
        <f t="shared" si="25"/>
        <v>0</v>
      </c>
      <c r="G72" s="524">
        <f t="shared" si="18"/>
        <v>0</v>
      </c>
      <c r="H72" s="478">
        <f t="shared" si="19"/>
        <v>0</v>
      </c>
      <c r="I72" s="501">
        <f t="shared" si="21"/>
        <v>0</v>
      </c>
      <c r="J72" s="501"/>
      <c r="K72" s="513"/>
      <c r="L72" s="505">
        <f t="shared" si="22"/>
        <v>0</v>
      </c>
      <c r="M72" s="513"/>
      <c r="N72" s="505">
        <f t="shared" si="23"/>
        <v>0</v>
      </c>
      <c r="O72" s="505">
        <f t="shared" si="24"/>
        <v>0</v>
      </c>
      <c r="P72" s="279"/>
      <c r="R72" s="244"/>
      <c r="S72" s="244"/>
      <c r="T72" s="244"/>
      <c r="U72" s="244"/>
    </row>
    <row r="73" spans="2:21" ht="13" thickBot="1">
      <c r="B73" s="145" t="str">
        <f t="shared" si="20"/>
        <v/>
      </c>
      <c r="C73" s="525">
        <f>IF(D11="","-",+C72+1)</f>
        <v>2067</v>
      </c>
      <c r="D73" s="526">
        <f>IF(F72+SUM(E$17:E72)=D$10,F72,D$10-SUM(E$17:E72))</f>
        <v>0</v>
      </c>
      <c r="E73" s="527">
        <f>IF(+I14&lt;F72,I14,D73)</f>
        <v>0</v>
      </c>
      <c r="F73" s="528">
        <f t="shared" si="25"/>
        <v>0</v>
      </c>
      <c r="G73" s="529">
        <f t="shared" si="18"/>
        <v>0</v>
      </c>
      <c r="H73" s="459">
        <f t="shared" si="19"/>
        <v>0</v>
      </c>
      <c r="I73" s="530">
        <f t="shared" si="21"/>
        <v>0</v>
      </c>
      <c r="J73" s="501"/>
      <c r="K73" s="531"/>
      <c r="L73" s="532">
        <f t="shared" si="22"/>
        <v>0</v>
      </c>
      <c r="M73" s="531"/>
      <c r="N73" s="532">
        <f t="shared" si="23"/>
        <v>0</v>
      </c>
      <c r="O73" s="532">
        <f t="shared" si="24"/>
        <v>0</v>
      </c>
      <c r="P73" s="279"/>
      <c r="R73" s="244"/>
      <c r="S73" s="244"/>
      <c r="T73" s="244"/>
      <c r="U73" s="244"/>
    </row>
    <row r="74" spans="2:21" ht="12.5">
      <c r="C74" s="350" t="s">
        <v>75</v>
      </c>
      <c r="D74" s="295"/>
      <c r="E74" s="295">
        <f>SUM(E17:E73)</f>
        <v>614753</v>
      </c>
      <c r="F74" s="295"/>
      <c r="G74" s="295">
        <f>SUM(G17:G73)</f>
        <v>2043710.743308288</v>
      </c>
      <c r="H74" s="295">
        <f>SUM(H17:H73)</f>
        <v>2043710.743308288</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3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70276.170801443019</v>
      </c>
      <c r="N88" s="545">
        <f>IF(J93&lt;D11,0,VLOOKUP(J93,C17:O73,11))</f>
        <v>70276.170801443019</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77832.627411167428</v>
      </c>
      <c r="N89" s="549">
        <f>IF(J93&lt;D11,0,VLOOKUP(J93,C100:P155,7))</f>
        <v>77832.627411167428</v>
      </c>
      <c r="O89" s="550">
        <f>+N89-M89</f>
        <v>0</v>
      </c>
      <c r="P89" s="244"/>
      <c r="Q89" s="244"/>
      <c r="R89" s="244"/>
      <c r="S89" s="244"/>
      <c r="T89" s="244"/>
      <c r="U89" s="244"/>
    </row>
    <row r="90" spans="1:21" ht="13.5" thickBot="1">
      <c r="C90" s="455" t="s">
        <v>82</v>
      </c>
      <c r="D90" s="551" t="str">
        <f>+D7</f>
        <v>Tulsa Power Station Reactor</v>
      </c>
      <c r="E90" s="244"/>
      <c r="F90" s="244"/>
      <c r="G90" s="244"/>
      <c r="H90" s="244"/>
      <c r="I90" s="326"/>
      <c r="J90" s="326"/>
      <c r="K90" s="552"/>
      <c r="L90" s="553" t="s">
        <v>135</v>
      </c>
      <c r="M90" s="554">
        <f>+M89-M88</f>
        <v>7556.4566097244096</v>
      </c>
      <c r="N90" s="554">
        <f>+N89-N88</f>
        <v>7556.4566097244096</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TP2009090</v>
      </c>
      <c r="E92" s="559"/>
      <c r="F92" s="559"/>
      <c r="G92" s="559"/>
      <c r="H92" s="559"/>
      <c r="I92" s="559"/>
      <c r="J92" s="559"/>
      <c r="K92" s="561"/>
      <c r="P92" s="469"/>
      <c r="Q92" s="244"/>
      <c r="R92" s="244"/>
      <c r="S92" s="244"/>
      <c r="T92" s="244"/>
      <c r="U92" s="244"/>
    </row>
    <row r="93" spans="1:21" ht="13">
      <c r="C93" s="473" t="s">
        <v>49</v>
      </c>
      <c r="D93" s="471">
        <f>IF(D11=I10,0,D10)</f>
        <v>614753</v>
      </c>
      <c r="E93" s="249" t="s">
        <v>84</v>
      </c>
      <c r="H93" s="409"/>
      <c r="I93" s="409"/>
      <c r="J93" s="472">
        <f>+'OKT.WS.G.BPU.ATRR.True-up'!M16</f>
        <v>2023</v>
      </c>
      <c r="K93" s="468"/>
      <c r="L93" s="295" t="s">
        <v>85</v>
      </c>
      <c r="P93" s="279"/>
      <c r="Q93" s="244"/>
      <c r="R93" s="244"/>
      <c r="S93" s="244"/>
      <c r="T93" s="244"/>
      <c r="U93" s="244"/>
    </row>
    <row r="94" spans="1:21" ht="12.5">
      <c r="C94" s="473" t="s">
        <v>52</v>
      </c>
      <c r="D94" s="562">
        <f>IF(D11=I10,"",D11)</f>
        <v>2011</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IF(D11=I10,"",D12)</f>
        <v>10</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32355.42105263158</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31" si="26">IF(D100=F99,"","IU")</f>
        <v>IU</v>
      </c>
      <c r="C100" s="496">
        <f>IF(D94= "","-",D94)</f>
        <v>2011</v>
      </c>
      <c r="D100" s="497">
        <v>0</v>
      </c>
      <c r="E100" s="499">
        <v>1766.3534482758621</v>
      </c>
      <c r="F100" s="506">
        <v>612924.64655172417</v>
      </c>
      <c r="G100" s="572">
        <v>306462.32327586209</v>
      </c>
      <c r="H100" s="572">
        <v>24552.570276961298</v>
      </c>
      <c r="I100" s="572">
        <v>24552.570276961298</v>
      </c>
      <c r="J100" s="505">
        <v>0</v>
      </c>
      <c r="K100" s="505"/>
      <c r="L100" s="588">
        <f t="shared" ref="L100:L105" si="27">H100</f>
        <v>24552.570276961298</v>
      </c>
      <c r="M100" s="589">
        <f t="shared" ref="M100:M131" si="28">IF(L100&lt;&gt;0,+H100-L100,0)</f>
        <v>0</v>
      </c>
      <c r="N100" s="507">
        <f t="shared" ref="N100:N105" si="29">I100</f>
        <v>24552.570276961298</v>
      </c>
      <c r="O100" s="589">
        <f t="shared" ref="O100:O131" si="30">IF(N100&lt;&gt;0,+I100-N100,0)</f>
        <v>0</v>
      </c>
      <c r="P100" s="504">
        <f t="shared" ref="P100:P131" si="31">+O100-M100</f>
        <v>0</v>
      </c>
      <c r="Q100" s="244"/>
      <c r="R100" s="244"/>
      <c r="S100" s="244"/>
      <c r="T100" s="244"/>
      <c r="U100" s="244"/>
    </row>
    <row r="101" spans="1:21" ht="12.5">
      <c r="B101" s="145" t="str">
        <f t="shared" si="26"/>
        <v>IU</v>
      </c>
      <c r="C101" s="496">
        <f>IF(D94="","-",+C100+1)</f>
        <v>2012</v>
      </c>
      <c r="D101" s="497">
        <v>612986.64655172417</v>
      </c>
      <c r="E101" s="499">
        <v>10599.189655172413</v>
      </c>
      <c r="F101" s="506">
        <v>602387.45689655177</v>
      </c>
      <c r="G101" s="506">
        <v>607687.05172413797</v>
      </c>
      <c r="H101" s="499">
        <v>72187.934734594193</v>
      </c>
      <c r="I101" s="500">
        <v>72187.934734594193</v>
      </c>
      <c r="J101" s="505">
        <v>0</v>
      </c>
      <c r="K101" s="589"/>
      <c r="L101" s="590">
        <f t="shared" si="27"/>
        <v>72187.934734594193</v>
      </c>
      <c r="M101" s="589">
        <f t="shared" ref="M101:M106" si="32">IF(L101&lt;&gt;0,+H101-L101,0)</f>
        <v>0</v>
      </c>
      <c r="N101" s="507">
        <f t="shared" si="29"/>
        <v>72187.934734594193</v>
      </c>
      <c r="O101" s="589">
        <f>IF(N101&lt;&gt;0,+I101-N101,0)</f>
        <v>0</v>
      </c>
      <c r="P101" s="589">
        <f>+O101-M101</f>
        <v>0</v>
      </c>
      <c r="Q101" s="244"/>
      <c r="R101" s="244"/>
      <c r="S101" s="244"/>
      <c r="T101" s="244"/>
      <c r="U101" s="244"/>
    </row>
    <row r="102" spans="1:21" ht="12.5">
      <c r="B102" s="145" t="str">
        <f t="shared" si="26"/>
        <v/>
      </c>
      <c r="C102" s="496">
        <f>IF(D94="","-",+C101+1)</f>
        <v>2013</v>
      </c>
      <c r="D102" s="497">
        <v>602387.45689655177</v>
      </c>
      <c r="E102" s="499">
        <v>10599.189655172413</v>
      </c>
      <c r="F102" s="506">
        <v>591788.26724137936</v>
      </c>
      <c r="G102" s="506">
        <v>597087.86206896557</v>
      </c>
      <c r="H102" s="499">
        <v>78464.169300722831</v>
      </c>
      <c r="I102" s="500">
        <v>78464.169300722831</v>
      </c>
      <c r="J102" s="505">
        <f t="shared" ref="J102:J131" si="33">+I102-H102</f>
        <v>0</v>
      </c>
      <c r="K102" s="589"/>
      <c r="L102" s="590">
        <f t="shared" si="27"/>
        <v>78464.169300722831</v>
      </c>
      <c r="M102" s="589">
        <f t="shared" si="32"/>
        <v>0</v>
      </c>
      <c r="N102" s="507">
        <f t="shared" si="29"/>
        <v>78464.169300722831</v>
      </c>
      <c r="O102" s="589">
        <f>IF(N102&lt;&gt;0,+I102-N102,0)</f>
        <v>0</v>
      </c>
      <c r="P102" s="589">
        <f>+O102-M102</f>
        <v>0</v>
      </c>
      <c r="Q102" s="244"/>
      <c r="R102" s="244"/>
      <c r="S102" s="244"/>
      <c r="T102" s="244"/>
      <c r="U102" s="244"/>
    </row>
    <row r="103" spans="1:21" ht="12.5">
      <c r="B103" s="145" t="str">
        <f t="shared" si="26"/>
        <v/>
      </c>
      <c r="C103" s="496">
        <f>IF(D94="","-",+C102+1)</f>
        <v>2014</v>
      </c>
      <c r="D103" s="497">
        <v>591788.26724137936</v>
      </c>
      <c r="E103" s="499">
        <v>10599.189655172413</v>
      </c>
      <c r="F103" s="506">
        <v>581189.07758620696</v>
      </c>
      <c r="G103" s="506">
        <v>586488.67241379316</v>
      </c>
      <c r="H103" s="499">
        <v>73672.191823391273</v>
      </c>
      <c r="I103" s="500">
        <v>73672.191823391273</v>
      </c>
      <c r="J103" s="505">
        <v>0</v>
      </c>
      <c r="K103" s="505"/>
      <c r="L103" s="590">
        <f t="shared" si="27"/>
        <v>73672.191823391273</v>
      </c>
      <c r="M103" s="589">
        <f t="shared" si="32"/>
        <v>0</v>
      </c>
      <c r="N103" s="507">
        <f t="shared" si="29"/>
        <v>73672.191823391273</v>
      </c>
      <c r="O103" s="589">
        <f>IF(N103&lt;&gt;0,+I103-N103,0)</f>
        <v>0</v>
      </c>
      <c r="P103" s="589">
        <f>+O103-M103</f>
        <v>0</v>
      </c>
      <c r="Q103" s="244"/>
      <c r="R103" s="244"/>
      <c r="S103" s="244"/>
      <c r="T103" s="244"/>
      <c r="U103" s="244"/>
    </row>
    <row r="104" spans="1:21" ht="12.5">
      <c r="B104" s="145" t="str">
        <f t="shared" si="26"/>
        <v/>
      </c>
      <c r="C104" s="496">
        <f>IF(D94="","-",+C103+1)</f>
        <v>2015</v>
      </c>
      <c r="D104" s="497">
        <v>581189.07758620696</v>
      </c>
      <c r="E104" s="499">
        <v>12807.354166666666</v>
      </c>
      <c r="F104" s="506">
        <v>568381.72341954033</v>
      </c>
      <c r="G104" s="506">
        <v>574785.40050287358</v>
      </c>
      <c r="H104" s="499">
        <v>76797.884368158106</v>
      </c>
      <c r="I104" s="500">
        <v>76797.884368158106</v>
      </c>
      <c r="J104" s="505">
        <f t="shared" si="33"/>
        <v>0</v>
      </c>
      <c r="K104" s="505"/>
      <c r="L104" s="590">
        <f t="shared" si="27"/>
        <v>76797.884368158106</v>
      </c>
      <c r="M104" s="589">
        <f t="shared" si="32"/>
        <v>0</v>
      </c>
      <c r="N104" s="507">
        <f t="shared" si="29"/>
        <v>76797.884368158106</v>
      </c>
      <c r="O104" s="589">
        <f t="shared" si="30"/>
        <v>0</v>
      </c>
      <c r="P104" s="589">
        <f t="shared" si="31"/>
        <v>0</v>
      </c>
      <c r="Q104" s="244"/>
      <c r="R104" s="244"/>
      <c r="S104" s="244"/>
      <c r="T104" s="244"/>
      <c r="U104" s="244"/>
    </row>
    <row r="105" spans="1:21" ht="12.5">
      <c r="B105" s="145" t="str">
        <f t="shared" si="26"/>
        <v/>
      </c>
      <c r="C105" s="496">
        <f>IF(D94="","-",+C104+1)</f>
        <v>2016</v>
      </c>
      <c r="D105" s="497">
        <v>568381.72341954033</v>
      </c>
      <c r="E105" s="499">
        <v>12053.980392156862</v>
      </c>
      <c r="F105" s="506">
        <v>556327.74302738346</v>
      </c>
      <c r="G105" s="506">
        <v>562354.7332234619</v>
      </c>
      <c r="H105" s="499">
        <v>72996.058830960712</v>
      </c>
      <c r="I105" s="500">
        <v>72996.058830960712</v>
      </c>
      <c r="J105" s="505">
        <f t="shared" si="33"/>
        <v>0</v>
      </c>
      <c r="K105" s="505"/>
      <c r="L105" s="590">
        <f t="shared" si="27"/>
        <v>72996.058830960712</v>
      </c>
      <c r="M105" s="589">
        <f t="shared" si="32"/>
        <v>0</v>
      </c>
      <c r="N105" s="507">
        <f t="shared" si="29"/>
        <v>72996.058830960712</v>
      </c>
      <c r="O105" s="589">
        <f>IF(N105&lt;&gt;0,+I105-N105,0)</f>
        <v>0</v>
      </c>
      <c r="P105" s="589">
        <f>+O105-M105</f>
        <v>0</v>
      </c>
      <c r="Q105" s="244"/>
      <c r="R105" s="244"/>
      <c r="S105" s="244"/>
      <c r="T105" s="244"/>
      <c r="U105" s="244"/>
    </row>
    <row r="106" spans="1:21" ht="12.5">
      <c r="B106" s="145" t="str">
        <f t="shared" si="26"/>
        <v/>
      </c>
      <c r="C106" s="496">
        <f>IF(D94="","-",+C105+1)</f>
        <v>2017</v>
      </c>
      <c r="D106" s="497">
        <v>556327.74302738346</v>
      </c>
      <c r="E106" s="499">
        <v>15368.825000000001</v>
      </c>
      <c r="F106" s="506">
        <v>540958.91802738351</v>
      </c>
      <c r="G106" s="506">
        <v>548643.33052738348</v>
      </c>
      <c r="H106" s="499">
        <v>79744.364331325967</v>
      </c>
      <c r="I106" s="500">
        <v>79744.364331325967</v>
      </c>
      <c r="J106" s="505">
        <f t="shared" si="33"/>
        <v>0</v>
      </c>
      <c r="K106" s="505"/>
      <c r="L106" s="590">
        <f t="shared" ref="L106:L111" si="34">H106</f>
        <v>79744.364331325967</v>
      </c>
      <c r="M106" s="589">
        <f t="shared" si="32"/>
        <v>0</v>
      </c>
      <c r="N106" s="507">
        <f t="shared" ref="N106:N111" si="35">I106</f>
        <v>79744.364331325967</v>
      </c>
      <c r="O106" s="589">
        <f>IF(N106&lt;&gt;0,+I106-N106,0)</f>
        <v>0</v>
      </c>
      <c r="P106" s="589">
        <f>+O106-M106</f>
        <v>0</v>
      </c>
      <c r="Q106" s="244"/>
      <c r="R106" s="244"/>
      <c r="S106" s="244"/>
      <c r="T106" s="244"/>
      <c r="U106" s="244"/>
    </row>
    <row r="107" spans="1:21" ht="12.5">
      <c r="B107" s="145" t="str">
        <f t="shared" si="26"/>
        <v/>
      </c>
      <c r="C107" s="496">
        <f>IF(D94="","-",+C106+1)</f>
        <v>2018</v>
      </c>
      <c r="D107" s="497">
        <v>540958.91802738351</v>
      </c>
      <c r="E107" s="499">
        <v>17076.472222222223</v>
      </c>
      <c r="F107" s="506">
        <v>523882.44580516126</v>
      </c>
      <c r="G107" s="506">
        <v>532420.68191627238</v>
      </c>
      <c r="H107" s="499">
        <v>73280.103356307678</v>
      </c>
      <c r="I107" s="500">
        <v>73280.103356307678</v>
      </c>
      <c r="J107" s="505">
        <f t="shared" si="33"/>
        <v>0</v>
      </c>
      <c r="K107" s="505"/>
      <c r="L107" s="590">
        <f t="shared" si="34"/>
        <v>73280.103356307678</v>
      </c>
      <c r="M107" s="589">
        <f t="shared" ref="M107" si="36">IF(L107&lt;&gt;0,+H107-L107,0)</f>
        <v>0</v>
      </c>
      <c r="N107" s="507">
        <f t="shared" si="35"/>
        <v>73280.103356307678</v>
      </c>
      <c r="O107" s="589">
        <f>IF(N107&lt;&gt;0,+I107-N107,0)</f>
        <v>0</v>
      </c>
      <c r="P107" s="589">
        <f>+O107-M107</f>
        <v>0</v>
      </c>
      <c r="Q107" s="244"/>
      <c r="R107" s="244"/>
      <c r="S107" s="244"/>
      <c r="T107" s="244"/>
      <c r="U107" s="244"/>
    </row>
    <row r="108" spans="1:21" ht="12.5">
      <c r="B108" s="145" t="str">
        <f t="shared" si="26"/>
        <v/>
      </c>
      <c r="C108" s="496">
        <f>IF(D94="","-",+C107+1)</f>
        <v>2019</v>
      </c>
      <c r="D108" s="497">
        <v>523882.44580516126</v>
      </c>
      <c r="E108" s="499">
        <v>17076.472222222223</v>
      </c>
      <c r="F108" s="506">
        <v>506805.97358293901</v>
      </c>
      <c r="G108" s="506">
        <v>515344.20969405014</v>
      </c>
      <c r="H108" s="499">
        <v>71477.469126557437</v>
      </c>
      <c r="I108" s="500">
        <v>71477.469126557437</v>
      </c>
      <c r="J108" s="505">
        <f t="shared" si="33"/>
        <v>0</v>
      </c>
      <c r="K108" s="505"/>
      <c r="L108" s="590">
        <f t="shared" si="34"/>
        <v>71477.469126557437</v>
      </c>
      <c r="M108" s="589">
        <f t="shared" ref="M108" si="37">IF(L108&lt;&gt;0,+H108-L108,0)</f>
        <v>0</v>
      </c>
      <c r="N108" s="507">
        <f t="shared" si="35"/>
        <v>71477.469126557437</v>
      </c>
      <c r="O108" s="505">
        <f t="shared" si="30"/>
        <v>0</v>
      </c>
      <c r="P108" s="505">
        <f t="shared" si="31"/>
        <v>0</v>
      </c>
      <c r="Q108" s="244"/>
      <c r="R108" s="244"/>
      <c r="S108" s="244"/>
      <c r="T108" s="244"/>
      <c r="U108" s="244"/>
    </row>
    <row r="109" spans="1:21" ht="12.5">
      <c r="B109" s="145" t="str">
        <f t="shared" si="26"/>
        <v/>
      </c>
      <c r="C109" s="496">
        <f>IF(D94="","-",+C108+1)</f>
        <v>2020</v>
      </c>
      <c r="D109" s="497">
        <v>506805.97358293901</v>
      </c>
      <c r="E109" s="499">
        <v>21955.464285714286</v>
      </c>
      <c r="F109" s="506">
        <v>484850.50929722475</v>
      </c>
      <c r="G109" s="506">
        <v>495828.24144008185</v>
      </c>
      <c r="H109" s="499">
        <v>74718.282345644373</v>
      </c>
      <c r="I109" s="500">
        <v>74718.282345644373</v>
      </c>
      <c r="J109" s="505">
        <f t="shared" si="33"/>
        <v>0</v>
      </c>
      <c r="K109" s="505"/>
      <c r="L109" s="590">
        <f t="shared" si="34"/>
        <v>74718.282345644373</v>
      </c>
      <c r="M109" s="589">
        <f t="shared" ref="M109" si="38">IF(L109&lt;&gt;0,+H109-L109,0)</f>
        <v>0</v>
      </c>
      <c r="N109" s="507">
        <f t="shared" si="35"/>
        <v>74718.282345644373</v>
      </c>
      <c r="O109" s="505">
        <f t="shared" si="30"/>
        <v>0</v>
      </c>
      <c r="P109" s="505">
        <f t="shared" si="31"/>
        <v>0</v>
      </c>
      <c r="Q109" s="244"/>
      <c r="R109" s="244"/>
      <c r="S109" s="244"/>
      <c r="T109" s="244"/>
      <c r="U109" s="244"/>
    </row>
    <row r="110" spans="1:21" ht="12.5">
      <c r="B110" s="145" t="str">
        <f t="shared" si="26"/>
        <v/>
      </c>
      <c r="C110" s="496">
        <f>IF(D94="","-",+C109+1)</f>
        <v>2021</v>
      </c>
      <c r="D110" s="497">
        <v>484850.50929722475</v>
      </c>
      <c r="E110" s="499">
        <v>24590.12</v>
      </c>
      <c r="F110" s="506">
        <v>460260.38929722476</v>
      </c>
      <c r="G110" s="506">
        <v>472555.44929722475</v>
      </c>
      <c r="H110" s="499">
        <v>80333.712117672912</v>
      </c>
      <c r="I110" s="500">
        <v>80333.712117672912</v>
      </c>
      <c r="J110" s="505">
        <f t="shared" si="33"/>
        <v>0</v>
      </c>
      <c r="K110" s="505"/>
      <c r="L110" s="590">
        <f t="shared" si="34"/>
        <v>80333.712117672912</v>
      </c>
      <c r="M110" s="589">
        <f t="shared" ref="M110" si="39">IF(L110&lt;&gt;0,+H110-L110,0)</f>
        <v>0</v>
      </c>
      <c r="N110" s="507">
        <f t="shared" si="35"/>
        <v>80333.712117672912</v>
      </c>
      <c r="O110" s="505">
        <f t="shared" si="30"/>
        <v>0</v>
      </c>
      <c r="P110" s="505">
        <f t="shared" si="31"/>
        <v>0</v>
      </c>
      <c r="Q110" s="244"/>
      <c r="R110" s="244"/>
      <c r="S110" s="244"/>
      <c r="T110" s="244"/>
      <c r="U110" s="244"/>
    </row>
    <row r="111" spans="1:21" ht="12.5">
      <c r="B111" s="145" t="str">
        <f t="shared" si="26"/>
        <v/>
      </c>
      <c r="C111" s="496">
        <f>IF(D94="","-",+C110+1)</f>
        <v>2022</v>
      </c>
      <c r="D111" s="497">
        <v>460260.38929722476</v>
      </c>
      <c r="E111" s="499">
        <v>29273.952380952382</v>
      </c>
      <c r="F111" s="506">
        <v>430986.43691627239</v>
      </c>
      <c r="G111" s="506">
        <v>445623.4131067486</v>
      </c>
      <c r="H111" s="499">
        <v>80505.500820738482</v>
      </c>
      <c r="I111" s="500">
        <v>80505.500820738482</v>
      </c>
      <c r="J111" s="505">
        <f t="shared" si="33"/>
        <v>0</v>
      </c>
      <c r="K111" s="505"/>
      <c r="L111" s="590">
        <f t="shared" si="34"/>
        <v>80505.500820738482</v>
      </c>
      <c r="M111" s="589">
        <f t="shared" ref="M111" si="40">IF(L111&lt;&gt;0,+H111-L111,0)</f>
        <v>0</v>
      </c>
      <c r="N111" s="507">
        <f t="shared" si="35"/>
        <v>80505.500820738482</v>
      </c>
      <c r="O111" s="505">
        <f t="shared" ref="O111" si="41">IF(N111&lt;&gt;0,+I111-N111,0)</f>
        <v>0</v>
      </c>
      <c r="P111" s="505">
        <f t="shared" si="31"/>
        <v>0</v>
      </c>
      <c r="Q111" s="244"/>
      <c r="R111" s="244"/>
      <c r="S111" s="244"/>
      <c r="T111" s="244"/>
      <c r="U111" s="244"/>
    </row>
    <row r="112" spans="1:21" ht="12.5">
      <c r="B112" s="145" t="str">
        <f t="shared" si="26"/>
        <v/>
      </c>
      <c r="C112" s="496">
        <f>IF(D94="","-",+C111+1)</f>
        <v>2023</v>
      </c>
      <c r="D112" s="350">
        <f>IF(F111+SUM(E$100:E111)=D$93,F111,D$93-SUM(E$100:E111))</f>
        <v>430986.43691627239</v>
      </c>
      <c r="E112" s="510">
        <f>IF(+J97&lt;F111,J97,D112)</f>
        <v>32355.42105263158</v>
      </c>
      <c r="F112" s="511">
        <f t="shared" ref="F112:F132" si="42">+D112-E112</f>
        <v>398631.01586364082</v>
      </c>
      <c r="G112" s="511">
        <f t="shared" ref="G112:G131" si="43">+(F112+D112)/2</f>
        <v>414808.7263899566</v>
      </c>
      <c r="H112" s="645">
        <f t="shared" ref="H112:H155" si="44">(D112+F112)/2*J$95+E112</f>
        <v>77832.627411167428</v>
      </c>
      <c r="I112" s="573">
        <f t="shared" ref="I112:I131" si="45">+J$96*G112+E112</f>
        <v>77832.627411167428</v>
      </c>
      <c r="J112" s="505">
        <f t="shared" si="33"/>
        <v>0</v>
      </c>
      <c r="K112" s="505"/>
      <c r="L112" s="513"/>
      <c r="M112" s="505">
        <f t="shared" si="28"/>
        <v>0</v>
      </c>
      <c r="N112" s="513"/>
      <c r="O112" s="505">
        <f t="shared" si="30"/>
        <v>0</v>
      </c>
      <c r="P112" s="505">
        <f t="shared" si="31"/>
        <v>0</v>
      </c>
      <c r="Q112" s="244"/>
      <c r="R112" s="244"/>
      <c r="S112" s="244"/>
      <c r="T112" s="244"/>
      <c r="U112" s="244"/>
    </row>
    <row r="113" spans="2:21" ht="12.5">
      <c r="B113" s="145" t="str">
        <f t="shared" si="26"/>
        <v/>
      </c>
      <c r="C113" s="496">
        <f>IF(D94="","-",+C112+1)</f>
        <v>2024</v>
      </c>
      <c r="D113" s="350">
        <f>IF(F112+SUM(E$100:E112)=D$93,F112,D$93-SUM(E$100:E112))</f>
        <v>398631.01586364082</v>
      </c>
      <c r="E113" s="510">
        <f>IF(+J97&lt;F112,J97,D113)</f>
        <v>32355.42105263158</v>
      </c>
      <c r="F113" s="511">
        <f t="shared" si="42"/>
        <v>366275.59481100924</v>
      </c>
      <c r="G113" s="511">
        <f t="shared" si="43"/>
        <v>382453.30533732503</v>
      </c>
      <c r="H113" s="645">
        <f t="shared" si="44"/>
        <v>74285.367996367742</v>
      </c>
      <c r="I113" s="573">
        <f t="shared" si="45"/>
        <v>74285.367996367742</v>
      </c>
      <c r="J113" s="505">
        <f t="shared" si="33"/>
        <v>0</v>
      </c>
      <c r="K113" s="505"/>
      <c r="L113" s="513"/>
      <c r="M113" s="505">
        <f t="shared" si="28"/>
        <v>0</v>
      </c>
      <c r="N113" s="513"/>
      <c r="O113" s="505">
        <f t="shared" si="30"/>
        <v>0</v>
      </c>
      <c r="P113" s="505">
        <f t="shared" si="31"/>
        <v>0</v>
      </c>
      <c r="Q113" s="244"/>
      <c r="R113" s="244"/>
      <c r="S113" s="244"/>
      <c r="T113" s="244"/>
      <c r="U113" s="244"/>
    </row>
    <row r="114" spans="2:21" ht="12.5">
      <c r="B114" s="145" t="str">
        <f t="shared" si="26"/>
        <v/>
      </c>
      <c r="C114" s="496">
        <f>IF(D94="","-",+C113+1)</f>
        <v>2025</v>
      </c>
      <c r="D114" s="350">
        <f>IF(F113+SUM(E$100:E113)=D$93,F113,D$93-SUM(E$100:E113))</f>
        <v>366275.59481100924</v>
      </c>
      <c r="E114" s="510">
        <f>IF(+J97&lt;F113,J97,D114)</f>
        <v>32355.42105263158</v>
      </c>
      <c r="F114" s="511">
        <f t="shared" si="42"/>
        <v>333920.17375837767</v>
      </c>
      <c r="G114" s="511">
        <f t="shared" si="43"/>
        <v>350097.88428469346</v>
      </c>
      <c r="H114" s="645">
        <f t="shared" si="44"/>
        <v>70738.108581568056</v>
      </c>
      <c r="I114" s="573">
        <f t="shared" si="45"/>
        <v>70738.108581568056</v>
      </c>
      <c r="J114" s="505">
        <f t="shared" si="33"/>
        <v>0</v>
      </c>
      <c r="K114" s="505"/>
      <c r="L114" s="513"/>
      <c r="M114" s="505">
        <f t="shared" si="28"/>
        <v>0</v>
      </c>
      <c r="N114" s="513"/>
      <c r="O114" s="505">
        <f t="shared" si="30"/>
        <v>0</v>
      </c>
      <c r="P114" s="505">
        <f t="shared" si="31"/>
        <v>0</v>
      </c>
      <c r="Q114" s="244"/>
      <c r="R114" s="244"/>
      <c r="S114" s="244"/>
      <c r="T114" s="244"/>
      <c r="U114" s="244"/>
    </row>
    <row r="115" spans="2:21" ht="12.5">
      <c r="B115" s="145" t="str">
        <f t="shared" si="26"/>
        <v/>
      </c>
      <c r="C115" s="496">
        <f>IF(D94="","-",+C114+1)</f>
        <v>2026</v>
      </c>
      <c r="D115" s="350">
        <f>IF(F114+SUM(E$100:E114)=D$93,F114,D$93-SUM(E$100:E114))</f>
        <v>333920.17375837767</v>
      </c>
      <c r="E115" s="510">
        <f>IF(+J97&lt;F114,J97,D115)</f>
        <v>32355.42105263158</v>
      </c>
      <c r="F115" s="511">
        <f t="shared" si="42"/>
        <v>301564.7527057461</v>
      </c>
      <c r="G115" s="511">
        <f t="shared" si="43"/>
        <v>317742.46323206188</v>
      </c>
      <c r="H115" s="645">
        <f t="shared" si="44"/>
        <v>67190.84916676837</v>
      </c>
      <c r="I115" s="573">
        <f t="shared" si="45"/>
        <v>67190.84916676837</v>
      </c>
      <c r="J115" s="505">
        <f t="shared" si="33"/>
        <v>0</v>
      </c>
      <c r="K115" s="505"/>
      <c r="L115" s="513"/>
      <c r="M115" s="505">
        <f t="shared" si="28"/>
        <v>0</v>
      </c>
      <c r="N115" s="513"/>
      <c r="O115" s="505">
        <f t="shared" si="30"/>
        <v>0</v>
      </c>
      <c r="P115" s="505">
        <f t="shared" si="31"/>
        <v>0</v>
      </c>
      <c r="Q115" s="244"/>
      <c r="R115" s="244"/>
      <c r="S115" s="244"/>
      <c r="T115" s="244"/>
      <c r="U115" s="244"/>
    </row>
    <row r="116" spans="2:21" ht="12.5">
      <c r="B116" s="145" t="str">
        <f t="shared" si="26"/>
        <v/>
      </c>
      <c r="C116" s="496">
        <f>IF(D94="","-",+C115+1)</f>
        <v>2027</v>
      </c>
      <c r="D116" s="350">
        <f>IF(F115+SUM(E$100:E115)=D$93,F115,D$93-SUM(E$100:E115))</f>
        <v>301564.7527057461</v>
      </c>
      <c r="E116" s="510">
        <f>IF(+J97&lt;F115,J97,D116)</f>
        <v>32355.42105263158</v>
      </c>
      <c r="F116" s="511">
        <f t="shared" si="42"/>
        <v>269209.33165311452</v>
      </c>
      <c r="G116" s="511">
        <f t="shared" si="43"/>
        <v>285387.04217943031</v>
      </c>
      <c r="H116" s="645">
        <f t="shared" si="44"/>
        <v>63643.589751968684</v>
      </c>
      <c r="I116" s="573">
        <f t="shared" si="45"/>
        <v>63643.589751968684</v>
      </c>
      <c r="J116" s="505">
        <f t="shared" si="33"/>
        <v>0</v>
      </c>
      <c r="K116" s="505"/>
      <c r="L116" s="513"/>
      <c r="M116" s="505">
        <f t="shared" si="28"/>
        <v>0</v>
      </c>
      <c r="N116" s="513"/>
      <c r="O116" s="505">
        <f t="shared" si="30"/>
        <v>0</v>
      </c>
      <c r="P116" s="505">
        <f t="shared" si="31"/>
        <v>0</v>
      </c>
      <c r="Q116" s="244"/>
      <c r="R116" s="244"/>
      <c r="S116" s="244"/>
      <c r="T116" s="244"/>
      <c r="U116" s="244"/>
    </row>
    <row r="117" spans="2:21" ht="12.5">
      <c r="B117" s="145" t="str">
        <f t="shared" si="26"/>
        <v/>
      </c>
      <c r="C117" s="496">
        <f>IF(D94="","-",+C116+1)</f>
        <v>2028</v>
      </c>
      <c r="D117" s="350">
        <f>IF(F116+SUM(E$100:E116)=D$93,F116,D$93-SUM(E$100:E116))</f>
        <v>269209.33165311452</v>
      </c>
      <c r="E117" s="510">
        <f>IF(+J97&lt;F116,J97,D117)</f>
        <v>32355.42105263158</v>
      </c>
      <c r="F117" s="511">
        <f t="shared" si="42"/>
        <v>236853.91060048295</v>
      </c>
      <c r="G117" s="511">
        <f t="shared" si="43"/>
        <v>253031.62112679874</v>
      </c>
      <c r="H117" s="645">
        <f t="shared" si="44"/>
        <v>60096.330337168998</v>
      </c>
      <c r="I117" s="573">
        <f t="shared" si="45"/>
        <v>60096.330337168998</v>
      </c>
      <c r="J117" s="505">
        <f t="shared" si="33"/>
        <v>0</v>
      </c>
      <c r="K117" s="505"/>
      <c r="L117" s="513"/>
      <c r="M117" s="505">
        <f t="shared" si="28"/>
        <v>0</v>
      </c>
      <c r="N117" s="513"/>
      <c r="O117" s="505">
        <f t="shared" si="30"/>
        <v>0</v>
      </c>
      <c r="P117" s="505">
        <f t="shared" si="31"/>
        <v>0</v>
      </c>
      <c r="Q117" s="244"/>
      <c r="R117" s="244"/>
      <c r="S117" s="244"/>
      <c r="T117" s="244"/>
      <c r="U117" s="244"/>
    </row>
    <row r="118" spans="2:21" ht="12.5">
      <c r="B118" s="145" t="str">
        <f t="shared" si="26"/>
        <v/>
      </c>
      <c r="C118" s="496">
        <f>IF(D94="","-",+C117+1)</f>
        <v>2029</v>
      </c>
      <c r="D118" s="350">
        <f>IF(F117+SUM(E$100:E117)=D$93,F117,D$93-SUM(E$100:E117))</f>
        <v>236853.91060048295</v>
      </c>
      <c r="E118" s="510">
        <f>IF(+J97&lt;F117,J97,D118)</f>
        <v>32355.42105263158</v>
      </c>
      <c r="F118" s="511">
        <f t="shared" si="42"/>
        <v>204498.48954785138</v>
      </c>
      <c r="G118" s="511">
        <f t="shared" si="43"/>
        <v>220676.20007416717</v>
      </c>
      <c r="H118" s="645">
        <f t="shared" si="44"/>
        <v>56549.070922369305</v>
      </c>
      <c r="I118" s="573">
        <f t="shared" si="45"/>
        <v>56549.070922369305</v>
      </c>
      <c r="J118" s="505">
        <f t="shared" si="33"/>
        <v>0</v>
      </c>
      <c r="K118" s="505"/>
      <c r="L118" s="513"/>
      <c r="M118" s="505">
        <f t="shared" si="28"/>
        <v>0</v>
      </c>
      <c r="N118" s="513"/>
      <c r="O118" s="505">
        <f t="shared" si="30"/>
        <v>0</v>
      </c>
      <c r="P118" s="505">
        <f t="shared" si="31"/>
        <v>0</v>
      </c>
      <c r="Q118" s="244"/>
      <c r="R118" s="244"/>
      <c r="S118" s="244"/>
      <c r="T118" s="244"/>
      <c r="U118" s="244"/>
    </row>
    <row r="119" spans="2:21" ht="12.5">
      <c r="B119" s="145" t="str">
        <f t="shared" si="26"/>
        <v/>
      </c>
      <c r="C119" s="496">
        <f>IF(D94="","-",+C118+1)</f>
        <v>2030</v>
      </c>
      <c r="D119" s="350">
        <f>IF(F118+SUM(E$100:E118)=D$93,F118,D$93-SUM(E$100:E118))</f>
        <v>204498.48954785138</v>
      </c>
      <c r="E119" s="510">
        <f>IF(+J97&lt;F118,J97,D119)</f>
        <v>32355.42105263158</v>
      </c>
      <c r="F119" s="511">
        <f t="shared" si="42"/>
        <v>172143.06849521981</v>
      </c>
      <c r="G119" s="511">
        <f t="shared" si="43"/>
        <v>188320.77902153559</v>
      </c>
      <c r="H119" s="645">
        <f t="shared" si="44"/>
        <v>53001.811507569619</v>
      </c>
      <c r="I119" s="573">
        <f t="shared" si="45"/>
        <v>53001.811507569619</v>
      </c>
      <c r="J119" s="505">
        <f t="shared" si="33"/>
        <v>0</v>
      </c>
      <c r="K119" s="505"/>
      <c r="L119" s="513"/>
      <c r="M119" s="505">
        <f t="shared" si="28"/>
        <v>0</v>
      </c>
      <c r="N119" s="513"/>
      <c r="O119" s="505">
        <f t="shared" si="30"/>
        <v>0</v>
      </c>
      <c r="P119" s="505">
        <f t="shared" si="31"/>
        <v>0</v>
      </c>
      <c r="Q119" s="244"/>
      <c r="R119" s="244"/>
      <c r="S119" s="244"/>
      <c r="T119" s="244"/>
      <c r="U119" s="244"/>
    </row>
    <row r="120" spans="2:21" ht="12.5">
      <c r="B120" s="145" t="str">
        <f t="shared" si="26"/>
        <v/>
      </c>
      <c r="C120" s="496">
        <f>IF(D94="","-",+C119+1)</f>
        <v>2031</v>
      </c>
      <c r="D120" s="350">
        <f>IF(F119+SUM(E$100:E119)=D$93,F119,D$93-SUM(E$100:E119))</f>
        <v>172143.06849521981</v>
      </c>
      <c r="E120" s="510">
        <f>IF(+J97&lt;F119,J97,D120)</f>
        <v>32355.42105263158</v>
      </c>
      <c r="F120" s="511">
        <f t="shared" si="42"/>
        <v>139787.64744258823</v>
      </c>
      <c r="G120" s="511">
        <f t="shared" si="43"/>
        <v>155965.35796890402</v>
      </c>
      <c r="H120" s="645">
        <f t="shared" si="44"/>
        <v>49454.552092769925</v>
      </c>
      <c r="I120" s="573">
        <f t="shared" si="45"/>
        <v>49454.552092769925</v>
      </c>
      <c r="J120" s="505">
        <f t="shared" si="33"/>
        <v>0</v>
      </c>
      <c r="K120" s="505"/>
      <c r="L120" s="513"/>
      <c r="M120" s="505">
        <f t="shared" si="28"/>
        <v>0</v>
      </c>
      <c r="N120" s="513"/>
      <c r="O120" s="505">
        <f t="shared" si="30"/>
        <v>0</v>
      </c>
      <c r="P120" s="505">
        <f t="shared" si="31"/>
        <v>0</v>
      </c>
      <c r="Q120" s="244"/>
      <c r="R120" s="244"/>
      <c r="S120" s="244"/>
      <c r="T120" s="244"/>
      <c r="U120" s="244"/>
    </row>
    <row r="121" spans="2:21" ht="12.5">
      <c r="B121" s="145" t="str">
        <f t="shared" si="26"/>
        <v/>
      </c>
      <c r="C121" s="496">
        <f>IF(D94="","-",+C120+1)</f>
        <v>2032</v>
      </c>
      <c r="D121" s="350">
        <f>IF(F120+SUM(E$100:E120)=D$93,F120,D$93-SUM(E$100:E120))</f>
        <v>139787.64744258823</v>
      </c>
      <c r="E121" s="510">
        <f>IF(+J97&lt;F120,J97,D121)</f>
        <v>32355.42105263158</v>
      </c>
      <c r="F121" s="511">
        <f t="shared" si="42"/>
        <v>107432.22638995666</v>
      </c>
      <c r="G121" s="511">
        <f t="shared" si="43"/>
        <v>123609.93691627245</v>
      </c>
      <c r="H121" s="645">
        <f t="shared" si="44"/>
        <v>45907.292677970239</v>
      </c>
      <c r="I121" s="573">
        <f t="shared" si="45"/>
        <v>45907.292677970239</v>
      </c>
      <c r="J121" s="505">
        <f t="shared" si="33"/>
        <v>0</v>
      </c>
      <c r="K121" s="505"/>
      <c r="L121" s="513"/>
      <c r="M121" s="505">
        <f t="shared" si="28"/>
        <v>0</v>
      </c>
      <c r="N121" s="513"/>
      <c r="O121" s="505">
        <f t="shared" si="30"/>
        <v>0</v>
      </c>
      <c r="P121" s="505">
        <f t="shared" si="31"/>
        <v>0</v>
      </c>
      <c r="Q121" s="244"/>
      <c r="R121" s="244"/>
      <c r="S121" s="244"/>
      <c r="T121" s="244"/>
      <c r="U121" s="244"/>
    </row>
    <row r="122" spans="2:21" ht="12.5">
      <c r="B122" s="145" t="str">
        <f t="shared" si="26"/>
        <v/>
      </c>
      <c r="C122" s="496">
        <f>IF(D94="","-",+C121+1)</f>
        <v>2033</v>
      </c>
      <c r="D122" s="350">
        <f>IF(F121+SUM(E$100:E121)=D$93,F121,D$93-SUM(E$100:E121))</f>
        <v>107432.22638995666</v>
      </c>
      <c r="E122" s="510">
        <f>IF(+J97&lt;F121,J97,D122)</f>
        <v>32355.42105263158</v>
      </c>
      <c r="F122" s="511">
        <f t="shared" si="42"/>
        <v>75076.805337325088</v>
      </c>
      <c r="G122" s="511">
        <f t="shared" si="43"/>
        <v>91254.515863640874</v>
      </c>
      <c r="H122" s="645">
        <f t="shared" si="44"/>
        <v>42360.033263170553</v>
      </c>
      <c r="I122" s="573">
        <f t="shared" si="45"/>
        <v>42360.033263170553</v>
      </c>
      <c r="J122" s="505">
        <f t="shared" si="33"/>
        <v>0</v>
      </c>
      <c r="K122" s="505"/>
      <c r="L122" s="513"/>
      <c r="M122" s="505">
        <f t="shared" si="28"/>
        <v>0</v>
      </c>
      <c r="N122" s="513"/>
      <c r="O122" s="505">
        <f t="shared" si="30"/>
        <v>0</v>
      </c>
      <c r="P122" s="505">
        <f t="shared" si="31"/>
        <v>0</v>
      </c>
      <c r="Q122" s="244"/>
      <c r="R122" s="244"/>
      <c r="S122" s="244"/>
      <c r="T122" s="244"/>
      <c r="U122" s="244"/>
    </row>
    <row r="123" spans="2:21" ht="12.5">
      <c r="B123" s="145" t="str">
        <f t="shared" si="26"/>
        <v/>
      </c>
      <c r="C123" s="496">
        <f>IF(D94="","-",+C122+1)</f>
        <v>2034</v>
      </c>
      <c r="D123" s="350">
        <f>IF(F122+SUM(E$100:E122)=D$93,F122,D$93-SUM(E$100:E122))</f>
        <v>75076.805337325088</v>
      </c>
      <c r="E123" s="510">
        <f>IF(+J97&lt;F122,J97,D123)</f>
        <v>32355.42105263158</v>
      </c>
      <c r="F123" s="511">
        <f t="shared" si="42"/>
        <v>42721.384284693508</v>
      </c>
      <c r="G123" s="511">
        <f t="shared" si="43"/>
        <v>58899.094811009301</v>
      </c>
      <c r="H123" s="645">
        <f t="shared" si="44"/>
        <v>38812.773848370867</v>
      </c>
      <c r="I123" s="573">
        <f t="shared" si="45"/>
        <v>38812.773848370867</v>
      </c>
      <c r="J123" s="505">
        <f t="shared" si="33"/>
        <v>0</v>
      </c>
      <c r="K123" s="505"/>
      <c r="L123" s="513"/>
      <c r="M123" s="505">
        <f t="shared" si="28"/>
        <v>0</v>
      </c>
      <c r="N123" s="513"/>
      <c r="O123" s="505">
        <f t="shared" si="30"/>
        <v>0</v>
      </c>
      <c r="P123" s="505">
        <f t="shared" si="31"/>
        <v>0</v>
      </c>
      <c r="Q123" s="244"/>
      <c r="R123" s="244"/>
      <c r="S123" s="244"/>
      <c r="T123" s="244"/>
      <c r="U123" s="244"/>
    </row>
    <row r="124" spans="2:21" ht="12.5">
      <c r="B124" s="145" t="str">
        <f t="shared" si="26"/>
        <v/>
      </c>
      <c r="C124" s="496">
        <f>IF(D94="","-",+C123+1)</f>
        <v>2035</v>
      </c>
      <c r="D124" s="350">
        <f>IF(F123+SUM(E$100:E123)=D$93,F123,D$93-SUM(E$100:E123))</f>
        <v>42721.384284693508</v>
      </c>
      <c r="E124" s="510">
        <f>IF(+J97&lt;F123,J97,D124)</f>
        <v>32355.42105263158</v>
      </c>
      <c r="F124" s="511">
        <f t="shared" si="42"/>
        <v>10365.963232061928</v>
      </c>
      <c r="G124" s="511">
        <f t="shared" si="43"/>
        <v>26543.673758377718</v>
      </c>
      <c r="H124" s="645">
        <f t="shared" si="44"/>
        <v>35265.514433571174</v>
      </c>
      <c r="I124" s="573">
        <f t="shared" si="45"/>
        <v>35265.514433571174</v>
      </c>
      <c r="J124" s="505">
        <f t="shared" si="33"/>
        <v>0</v>
      </c>
      <c r="K124" s="505"/>
      <c r="L124" s="513"/>
      <c r="M124" s="505">
        <f t="shared" si="28"/>
        <v>0</v>
      </c>
      <c r="N124" s="513"/>
      <c r="O124" s="505">
        <f t="shared" si="30"/>
        <v>0</v>
      </c>
      <c r="P124" s="505">
        <f t="shared" si="31"/>
        <v>0</v>
      </c>
      <c r="Q124" s="244"/>
      <c r="R124" s="244"/>
      <c r="S124" s="244"/>
      <c r="T124" s="244"/>
      <c r="U124" s="244"/>
    </row>
    <row r="125" spans="2:21" ht="12.5">
      <c r="B125" s="145" t="str">
        <f t="shared" si="26"/>
        <v/>
      </c>
      <c r="C125" s="496">
        <f>IF(D94="","-",+C124+1)</f>
        <v>2036</v>
      </c>
      <c r="D125" s="350">
        <f>IF(F124+SUM(E$100:E124)=D$93,F124,D$93-SUM(E$100:E124))</f>
        <v>10365.963232061928</v>
      </c>
      <c r="E125" s="510">
        <f>IF(+J97&lt;F124,J97,D125)</f>
        <v>10365.963232061928</v>
      </c>
      <c r="F125" s="511">
        <f t="shared" si="42"/>
        <v>0</v>
      </c>
      <c r="G125" s="511">
        <f t="shared" si="43"/>
        <v>5182.9816160309638</v>
      </c>
      <c r="H125" s="645">
        <f t="shared" si="44"/>
        <v>10934.195068831803</v>
      </c>
      <c r="I125" s="573">
        <f t="shared" si="45"/>
        <v>10934.195068831803</v>
      </c>
      <c r="J125" s="505">
        <f t="shared" si="33"/>
        <v>0</v>
      </c>
      <c r="K125" s="505"/>
      <c r="L125" s="513"/>
      <c r="M125" s="505">
        <f t="shared" si="28"/>
        <v>0</v>
      </c>
      <c r="N125" s="513"/>
      <c r="O125" s="505">
        <f t="shared" si="30"/>
        <v>0</v>
      </c>
      <c r="P125" s="505">
        <f t="shared" si="31"/>
        <v>0</v>
      </c>
      <c r="Q125" s="244"/>
      <c r="R125" s="244"/>
      <c r="S125" s="244"/>
      <c r="T125" s="244"/>
      <c r="U125" s="244"/>
    </row>
    <row r="126" spans="2:21" ht="12.5">
      <c r="B126" s="145" t="str">
        <f t="shared" si="26"/>
        <v/>
      </c>
      <c r="C126" s="496">
        <f>IF(D94="","-",+C125+1)</f>
        <v>2037</v>
      </c>
      <c r="D126" s="350">
        <f>IF(F125+SUM(E$100:E125)=D$93,F125,D$93-SUM(E$100:E125))</f>
        <v>0</v>
      </c>
      <c r="E126" s="510">
        <f>IF(+J97&lt;F125,J97,D126)</f>
        <v>0</v>
      </c>
      <c r="F126" s="511">
        <f t="shared" si="42"/>
        <v>0</v>
      </c>
      <c r="G126" s="511">
        <f t="shared" si="43"/>
        <v>0</v>
      </c>
      <c r="H126" s="645">
        <f t="shared" si="44"/>
        <v>0</v>
      </c>
      <c r="I126" s="573">
        <f t="shared" si="45"/>
        <v>0</v>
      </c>
      <c r="J126" s="505">
        <f t="shared" si="33"/>
        <v>0</v>
      </c>
      <c r="K126" s="505"/>
      <c r="L126" s="513"/>
      <c r="M126" s="505">
        <f t="shared" si="28"/>
        <v>0</v>
      </c>
      <c r="N126" s="513"/>
      <c r="O126" s="505">
        <f t="shared" si="30"/>
        <v>0</v>
      </c>
      <c r="P126" s="505">
        <f t="shared" si="31"/>
        <v>0</v>
      </c>
      <c r="Q126" s="244"/>
      <c r="R126" s="244"/>
      <c r="S126" s="244"/>
      <c r="T126" s="244"/>
      <c r="U126" s="244"/>
    </row>
    <row r="127" spans="2:21" ht="12.5">
      <c r="B127" s="145" t="str">
        <f t="shared" si="26"/>
        <v/>
      </c>
      <c r="C127" s="496">
        <f>IF(D94="","-",+C126+1)</f>
        <v>2038</v>
      </c>
      <c r="D127" s="350">
        <f>IF(F126+SUM(E$100:E126)=D$93,F126,D$93-SUM(E$100:E126))</f>
        <v>0</v>
      </c>
      <c r="E127" s="510">
        <f>IF(+J97&lt;F126,J97,D127)</f>
        <v>0</v>
      </c>
      <c r="F127" s="511">
        <f t="shared" si="42"/>
        <v>0</v>
      </c>
      <c r="G127" s="511">
        <f t="shared" si="43"/>
        <v>0</v>
      </c>
      <c r="H127" s="645">
        <f t="shared" si="44"/>
        <v>0</v>
      </c>
      <c r="I127" s="573">
        <f t="shared" si="45"/>
        <v>0</v>
      </c>
      <c r="J127" s="505">
        <f t="shared" si="33"/>
        <v>0</v>
      </c>
      <c r="K127" s="505"/>
      <c r="L127" s="513"/>
      <c r="M127" s="505">
        <f t="shared" si="28"/>
        <v>0</v>
      </c>
      <c r="N127" s="513"/>
      <c r="O127" s="505">
        <f t="shared" si="30"/>
        <v>0</v>
      </c>
      <c r="P127" s="505">
        <f t="shared" si="31"/>
        <v>0</v>
      </c>
      <c r="Q127" s="244"/>
      <c r="R127" s="244"/>
      <c r="S127" s="244"/>
      <c r="T127" s="244"/>
      <c r="U127" s="244"/>
    </row>
    <row r="128" spans="2:21" ht="12.5">
      <c r="B128" s="145" t="str">
        <f t="shared" si="26"/>
        <v/>
      </c>
      <c r="C128" s="496">
        <f>IF(D94="","-",+C127+1)</f>
        <v>2039</v>
      </c>
      <c r="D128" s="350">
        <f>IF(F127+SUM(E$100:E127)=D$93,F127,D$93-SUM(E$100:E127))</f>
        <v>0</v>
      </c>
      <c r="E128" s="510">
        <f>IF(+J97&lt;F127,J97,D128)</f>
        <v>0</v>
      </c>
      <c r="F128" s="511">
        <f t="shared" si="42"/>
        <v>0</v>
      </c>
      <c r="G128" s="511">
        <f t="shared" si="43"/>
        <v>0</v>
      </c>
      <c r="H128" s="645">
        <f t="shared" si="44"/>
        <v>0</v>
      </c>
      <c r="I128" s="573">
        <f t="shared" si="45"/>
        <v>0</v>
      </c>
      <c r="J128" s="505">
        <f t="shared" si="33"/>
        <v>0</v>
      </c>
      <c r="K128" s="505"/>
      <c r="L128" s="513"/>
      <c r="M128" s="505">
        <f t="shared" si="28"/>
        <v>0</v>
      </c>
      <c r="N128" s="513"/>
      <c r="O128" s="505">
        <f t="shared" si="30"/>
        <v>0</v>
      </c>
      <c r="P128" s="505">
        <f t="shared" si="31"/>
        <v>0</v>
      </c>
      <c r="Q128" s="244"/>
      <c r="R128" s="244"/>
      <c r="S128" s="244"/>
      <c r="T128" s="244"/>
      <c r="U128" s="244"/>
    </row>
    <row r="129" spans="2:21" ht="12.5">
      <c r="B129" s="145" t="str">
        <f t="shared" si="26"/>
        <v/>
      </c>
      <c r="C129" s="496">
        <f>IF(D94="","-",+C128+1)</f>
        <v>2040</v>
      </c>
      <c r="D129" s="350">
        <f>IF(F128+SUM(E$100:E128)=D$93,F128,D$93-SUM(E$100:E128))</f>
        <v>0</v>
      </c>
      <c r="E129" s="510">
        <f>IF(+J97&lt;F128,J97,D129)</f>
        <v>0</v>
      </c>
      <c r="F129" s="511">
        <f t="shared" si="42"/>
        <v>0</v>
      </c>
      <c r="G129" s="511">
        <f t="shared" si="43"/>
        <v>0</v>
      </c>
      <c r="H129" s="645">
        <f t="shared" si="44"/>
        <v>0</v>
      </c>
      <c r="I129" s="573">
        <f t="shared" si="45"/>
        <v>0</v>
      </c>
      <c r="J129" s="505">
        <f t="shared" si="33"/>
        <v>0</v>
      </c>
      <c r="K129" s="505"/>
      <c r="L129" s="513"/>
      <c r="M129" s="505">
        <f t="shared" si="28"/>
        <v>0</v>
      </c>
      <c r="N129" s="513"/>
      <c r="O129" s="505">
        <f t="shared" si="30"/>
        <v>0</v>
      </c>
      <c r="P129" s="505">
        <f t="shared" si="31"/>
        <v>0</v>
      </c>
      <c r="Q129" s="244"/>
      <c r="R129" s="244"/>
      <c r="S129" s="244"/>
      <c r="T129" s="244"/>
      <c r="U129" s="244"/>
    </row>
    <row r="130" spans="2:21" ht="12.5">
      <c r="B130" s="145" t="str">
        <f t="shared" si="26"/>
        <v/>
      </c>
      <c r="C130" s="496">
        <f>IF(D94="","-",+C129+1)</f>
        <v>2041</v>
      </c>
      <c r="D130" s="350">
        <f>IF(F129+SUM(E$100:E129)=D$93,F129,D$93-SUM(E$100:E129))</f>
        <v>0</v>
      </c>
      <c r="E130" s="510">
        <f>IF(+J97&lt;F129,J97,D130)</f>
        <v>0</v>
      </c>
      <c r="F130" s="511">
        <f t="shared" si="42"/>
        <v>0</v>
      </c>
      <c r="G130" s="511">
        <f t="shared" si="43"/>
        <v>0</v>
      </c>
      <c r="H130" s="645">
        <f t="shared" si="44"/>
        <v>0</v>
      </c>
      <c r="I130" s="573">
        <f t="shared" si="45"/>
        <v>0</v>
      </c>
      <c r="J130" s="505">
        <f t="shared" si="33"/>
        <v>0</v>
      </c>
      <c r="K130" s="505"/>
      <c r="L130" s="513"/>
      <c r="M130" s="505">
        <f t="shared" si="28"/>
        <v>0</v>
      </c>
      <c r="N130" s="513"/>
      <c r="O130" s="505">
        <f t="shared" si="30"/>
        <v>0</v>
      </c>
      <c r="P130" s="505">
        <f t="shared" si="31"/>
        <v>0</v>
      </c>
      <c r="Q130" s="244"/>
      <c r="R130" s="244"/>
      <c r="S130" s="244"/>
      <c r="T130" s="244"/>
      <c r="U130" s="244"/>
    </row>
    <row r="131" spans="2:21" ht="12.5">
      <c r="B131" s="145" t="str">
        <f t="shared" si="26"/>
        <v/>
      </c>
      <c r="C131" s="496">
        <f>IF(D94="","-",+C130+1)</f>
        <v>2042</v>
      </c>
      <c r="D131" s="350">
        <f>IF(F130+SUM(E$100:E130)=D$93,F130,D$93-SUM(E$100:E130))</f>
        <v>0</v>
      </c>
      <c r="E131" s="510">
        <f>IF(+J97&lt;F130,J97,D131)</f>
        <v>0</v>
      </c>
      <c r="F131" s="511">
        <f t="shared" si="42"/>
        <v>0</v>
      </c>
      <c r="G131" s="511">
        <f t="shared" si="43"/>
        <v>0</v>
      </c>
      <c r="H131" s="645">
        <f t="shared" si="44"/>
        <v>0</v>
      </c>
      <c r="I131" s="573">
        <f t="shared" si="45"/>
        <v>0</v>
      </c>
      <c r="J131" s="505">
        <f t="shared" si="33"/>
        <v>0</v>
      </c>
      <c r="K131" s="505"/>
      <c r="L131" s="513"/>
      <c r="M131" s="505">
        <f t="shared" si="28"/>
        <v>0</v>
      </c>
      <c r="N131" s="513"/>
      <c r="O131" s="505">
        <f t="shared" si="30"/>
        <v>0</v>
      </c>
      <c r="P131" s="505">
        <f t="shared" si="31"/>
        <v>0</v>
      </c>
      <c r="Q131" s="244"/>
      <c r="R131" s="244"/>
      <c r="S131" s="244"/>
      <c r="T131" s="244"/>
      <c r="U131" s="244"/>
    </row>
    <row r="132" spans="2:21" ht="12.5">
      <c r="B132" s="145" t="str">
        <f t="shared" ref="B132:B155" si="46">IF(D132=F131,"","IU")</f>
        <v/>
      </c>
      <c r="C132" s="496">
        <f>IF(D94="","-",+C131+1)</f>
        <v>2043</v>
      </c>
      <c r="D132" s="350">
        <f>IF(F131+SUM(E$100:E131)=D$93,F131,D$93-SUM(E$100:E131))</f>
        <v>0</v>
      </c>
      <c r="E132" s="510">
        <f>IF(+J97&lt;F131,J97,D132)</f>
        <v>0</v>
      </c>
      <c r="F132" s="511">
        <f t="shared" si="42"/>
        <v>0</v>
      </c>
      <c r="G132" s="511">
        <f t="shared" ref="G132:G155" si="47">+(F132+D132)/2</f>
        <v>0</v>
      </c>
      <c r="H132" s="645">
        <f t="shared" si="44"/>
        <v>0</v>
      </c>
      <c r="I132" s="573">
        <f t="shared" ref="I132:I155" si="48">+J$96*G132+E132</f>
        <v>0</v>
      </c>
      <c r="J132" s="505">
        <f t="shared" ref="J132:J155" si="49">+I132-H132</f>
        <v>0</v>
      </c>
      <c r="K132" s="505"/>
      <c r="L132" s="513"/>
      <c r="M132" s="505">
        <f t="shared" ref="M132:M155" si="50">IF(L132&lt;&gt;0,+H132-L132,0)</f>
        <v>0</v>
      </c>
      <c r="N132" s="513"/>
      <c r="O132" s="505">
        <f t="shared" ref="O132:O155" si="51">IF(N132&lt;&gt;0,+I132-N132,0)</f>
        <v>0</v>
      </c>
      <c r="P132" s="505">
        <f t="shared" ref="P132:P155" si="52">+O132-M132</f>
        <v>0</v>
      </c>
      <c r="Q132" s="244"/>
      <c r="R132" s="244"/>
      <c r="S132" s="244"/>
      <c r="T132" s="244"/>
      <c r="U132" s="244"/>
    </row>
    <row r="133" spans="2:21" ht="12.5">
      <c r="B133" s="145" t="str">
        <f t="shared" si="46"/>
        <v/>
      </c>
      <c r="C133" s="496">
        <f>IF(D94="","-",+C132+1)</f>
        <v>2044</v>
      </c>
      <c r="D133" s="350">
        <f>IF(F132+SUM(E$100:E132)=D$93,F132,D$93-SUM(E$100:E132))</f>
        <v>0</v>
      </c>
      <c r="E133" s="510">
        <f>IF(+J97&lt;F132,J97,D133)</f>
        <v>0</v>
      </c>
      <c r="F133" s="511">
        <f t="shared" ref="F133:F155" si="53">+D133-E133</f>
        <v>0</v>
      </c>
      <c r="G133" s="511">
        <f t="shared" si="47"/>
        <v>0</v>
      </c>
      <c r="H133" s="645">
        <f t="shared" si="44"/>
        <v>0</v>
      </c>
      <c r="I133" s="573">
        <f t="shared" si="48"/>
        <v>0</v>
      </c>
      <c r="J133" s="505">
        <f t="shared" si="49"/>
        <v>0</v>
      </c>
      <c r="K133" s="505"/>
      <c r="L133" s="513"/>
      <c r="M133" s="505">
        <f t="shared" si="50"/>
        <v>0</v>
      </c>
      <c r="N133" s="513"/>
      <c r="O133" s="505">
        <f t="shared" si="51"/>
        <v>0</v>
      </c>
      <c r="P133" s="505">
        <f t="shared" si="52"/>
        <v>0</v>
      </c>
      <c r="Q133" s="244"/>
      <c r="R133" s="244"/>
      <c r="S133" s="244"/>
      <c r="T133" s="244"/>
      <c r="U133" s="244"/>
    </row>
    <row r="134" spans="2:21" ht="12.5">
      <c r="B134" s="145" t="str">
        <f t="shared" si="46"/>
        <v/>
      </c>
      <c r="C134" s="496">
        <f>IF(D94="","-",+C133+1)</f>
        <v>2045</v>
      </c>
      <c r="D134" s="350">
        <f>IF(F133+SUM(E$100:E133)=D$93,F133,D$93-SUM(E$100:E133))</f>
        <v>0</v>
      </c>
      <c r="E134" s="510">
        <f>IF(+J97&lt;F133,J97,D134)</f>
        <v>0</v>
      </c>
      <c r="F134" s="511">
        <f t="shared" si="53"/>
        <v>0</v>
      </c>
      <c r="G134" s="511">
        <f t="shared" si="47"/>
        <v>0</v>
      </c>
      <c r="H134" s="645">
        <f t="shared" si="44"/>
        <v>0</v>
      </c>
      <c r="I134" s="573">
        <f t="shared" si="48"/>
        <v>0</v>
      </c>
      <c r="J134" s="505">
        <f t="shared" si="49"/>
        <v>0</v>
      </c>
      <c r="K134" s="505"/>
      <c r="L134" s="513"/>
      <c r="M134" s="505">
        <f t="shared" si="50"/>
        <v>0</v>
      </c>
      <c r="N134" s="513"/>
      <c r="O134" s="505">
        <f t="shared" si="51"/>
        <v>0</v>
      </c>
      <c r="P134" s="505">
        <f t="shared" si="52"/>
        <v>0</v>
      </c>
      <c r="Q134" s="244"/>
      <c r="R134" s="244"/>
      <c r="S134" s="244"/>
      <c r="T134" s="244"/>
      <c r="U134" s="244"/>
    </row>
    <row r="135" spans="2:21" ht="12.5">
      <c r="B135" s="145" t="str">
        <f t="shared" si="46"/>
        <v/>
      </c>
      <c r="C135" s="496">
        <f>IF(D94="","-",+C134+1)</f>
        <v>2046</v>
      </c>
      <c r="D135" s="350">
        <f>IF(F134+SUM(E$100:E134)=D$93,F134,D$93-SUM(E$100:E134))</f>
        <v>0</v>
      </c>
      <c r="E135" s="510">
        <f>IF(+J97&lt;F134,J97,D135)</f>
        <v>0</v>
      </c>
      <c r="F135" s="511">
        <f t="shared" si="53"/>
        <v>0</v>
      </c>
      <c r="G135" s="511">
        <f t="shared" si="47"/>
        <v>0</v>
      </c>
      <c r="H135" s="645">
        <f t="shared" si="44"/>
        <v>0</v>
      </c>
      <c r="I135" s="573">
        <f t="shared" si="48"/>
        <v>0</v>
      </c>
      <c r="J135" s="505">
        <f t="shared" si="49"/>
        <v>0</v>
      </c>
      <c r="K135" s="505"/>
      <c r="L135" s="513"/>
      <c r="M135" s="505">
        <f t="shared" si="50"/>
        <v>0</v>
      </c>
      <c r="N135" s="513"/>
      <c r="O135" s="505">
        <f t="shared" si="51"/>
        <v>0</v>
      </c>
      <c r="P135" s="505">
        <f t="shared" si="52"/>
        <v>0</v>
      </c>
      <c r="Q135" s="244"/>
      <c r="R135" s="244"/>
      <c r="S135" s="244"/>
      <c r="T135" s="244"/>
      <c r="U135" s="244"/>
    </row>
    <row r="136" spans="2:21" ht="12.5">
      <c r="B136" s="145" t="str">
        <f t="shared" si="46"/>
        <v/>
      </c>
      <c r="C136" s="496">
        <f>IF(D94="","-",+C135+1)</f>
        <v>2047</v>
      </c>
      <c r="D136" s="350">
        <f>IF(F135+SUM(E$100:E135)=D$93,F135,D$93-SUM(E$100:E135))</f>
        <v>0</v>
      </c>
      <c r="E136" s="510">
        <f>IF(+J97&lt;F135,J97,D136)</f>
        <v>0</v>
      </c>
      <c r="F136" s="511">
        <f t="shared" si="53"/>
        <v>0</v>
      </c>
      <c r="G136" s="511">
        <f t="shared" si="47"/>
        <v>0</v>
      </c>
      <c r="H136" s="645">
        <f t="shared" si="44"/>
        <v>0</v>
      </c>
      <c r="I136" s="573">
        <f t="shared" si="48"/>
        <v>0</v>
      </c>
      <c r="J136" s="505">
        <f t="shared" si="49"/>
        <v>0</v>
      </c>
      <c r="K136" s="505"/>
      <c r="L136" s="513"/>
      <c r="M136" s="505">
        <f t="shared" si="50"/>
        <v>0</v>
      </c>
      <c r="N136" s="513"/>
      <c r="O136" s="505">
        <f t="shared" si="51"/>
        <v>0</v>
      </c>
      <c r="P136" s="505">
        <f t="shared" si="52"/>
        <v>0</v>
      </c>
      <c r="Q136" s="244"/>
      <c r="R136" s="244"/>
      <c r="S136" s="244"/>
      <c r="T136" s="244"/>
      <c r="U136" s="244"/>
    </row>
    <row r="137" spans="2:21" ht="12.5">
      <c r="B137" s="145" t="str">
        <f t="shared" si="46"/>
        <v/>
      </c>
      <c r="C137" s="496">
        <f>IF(D94="","-",+C136+1)</f>
        <v>2048</v>
      </c>
      <c r="D137" s="350">
        <f>IF(F136+SUM(E$100:E136)=D$93,F136,D$93-SUM(E$100:E136))</f>
        <v>0</v>
      </c>
      <c r="E137" s="510">
        <f>IF(+J97&lt;F136,J97,D137)</f>
        <v>0</v>
      </c>
      <c r="F137" s="511">
        <f t="shared" si="53"/>
        <v>0</v>
      </c>
      <c r="G137" s="511">
        <f t="shared" si="47"/>
        <v>0</v>
      </c>
      <c r="H137" s="645">
        <f t="shared" si="44"/>
        <v>0</v>
      </c>
      <c r="I137" s="573">
        <f t="shared" si="48"/>
        <v>0</v>
      </c>
      <c r="J137" s="505">
        <f t="shared" si="49"/>
        <v>0</v>
      </c>
      <c r="K137" s="505"/>
      <c r="L137" s="513"/>
      <c r="M137" s="505">
        <f t="shared" si="50"/>
        <v>0</v>
      </c>
      <c r="N137" s="513"/>
      <c r="O137" s="505">
        <f t="shared" si="51"/>
        <v>0</v>
      </c>
      <c r="P137" s="505">
        <f t="shared" si="52"/>
        <v>0</v>
      </c>
      <c r="Q137" s="244"/>
      <c r="R137" s="244"/>
      <c r="S137" s="244"/>
      <c r="T137" s="244"/>
      <c r="U137" s="244"/>
    </row>
    <row r="138" spans="2:21" ht="12.5">
      <c r="B138" s="145" t="str">
        <f t="shared" si="46"/>
        <v/>
      </c>
      <c r="C138" s="496">
        <f>IF(D94="","-",+C137+1)</f>
        <v>2049</v>
      </c>
      <c r="D138" s="350">
        <f>IF(F137+SUM(E$100:E137)=D$93,F137,D$93-SUM(E$100:E137))</f>
        <v>0</v>
      </c>
      <c r="E138" s="510">
        <f>IF(+J97&lt;F137,J97,D138)</f>
        <v>0</v>
      </c>
      <c r="F138" s="511">
        <f t="shared" si="53"/>
        <v>0</v>
      </c>
      <c r="G138" s="511">
        <f t="shared" si="47"/>
        <v>0</v>
      </c>
      <c r="H138" s="645">
        <f t="shared" si="44"/>
        <v>0</v>
      </c>
      <c r="I138" s="573">
        <f t="shared" si="48"/>
        <v>0</v>
      </c>
      <c r="J138" s="505">
        <f t="shared" si="49"/>
        <v>0</v>
      </c>
      <c r="K138" s="505"/>
      <c r="L138" s="513"/>
      <c r="M138" s="505">
        <f t="shared" si="50"/>
        <v>0</v>
      </c>
      <c r="N138" s="513"/>
      <c r="O138" s="505">
        <f t="shared" si="51"/>
        <v>0</v>
      </c>
      <c r="P138" s="505">
        <f t="shared" si="52"/>
        <v>0</v>
      </c>
      <c r="Q138" s="244"/>
      <c r="R138" s="244"/>
      <c r="S138" s="244"/>
      <c r="T138" s="244"/>
      <c r="U138" s="244"/>
    </row>
    <row r="139" spans="2:21" ht="12.5">
      <c r="B139" s="145" t="str">
        <f t="shared" si="46"/>
        <v/>
      </c>
      <c r="C139" s="496">
        <f>IF(D94="","-",+C138+1)</f>
        <v>2050</v>
      </c>
      <c r="D139" s="350">
        <f>IF(F138+SUM(E$100:E138)=D$93,F138,D$93-SUM(E$100:E138))</f>
        <v>0</v>
      </c>
      <c r="E139" s="510">
        <f>IF(+J97&lt;F138,J97,D139)</f>
        <v>0</v>
      </c>
      <c r="F139" s="511">
        <f t="shared" si="53"/>
        <v>0</v>
      </c>
      <c r="G139" s="511">
        <f t="shared" si="47"/>
        <v>0</v>
      </c>
      <c r="H139" s="645">
        <f t="shared" si="44"/>
        <v>0</v>
      </c>
      <c r="I139" s="573">
        <f t="shared" si="48"/>
        <v>0</v>
      </c>
      <c r="J139" s="505">
        <f t="shared" si="49"/>
        <v>0</v>
      </c>
      <c r="K139" s="505"/>
      <c r="L139" s="513"/>
      <c r="M139" s="505">
        <f t="shared" si="50"/>
        <v>0</v>
      </c>
      <c r="N139" s="513"/>
      <c r="O139" s="505">
        <f t="shared" si="51"/>
        <v>0</v>
      </c>
      <c r="P139" s="505">
        <f t="shared" si="52"/>
        <v>0</v>
      </c>
      <c r="Q139" s="244"/>
      <c r="R139" s="244"/>
      <c r="S139" s="244"/>
      <c r="T139" s="244"/>
      <c r="U139" s="244"/>
    </row>
    <row r="140" spans="2:21" ht="12.5">
      <c r="B140" s="145" t="str">
        <f t="shared" si="46"/>
        <v/>
      </c>
      <c r="C140" s="496">
        <f>IF(D94="","-",+C139+1)</f>
        <v>2051</v>
      </c>
      <c r="D140" s="350">
        <f>IF(F139+SUM(E$100:E139)=D$93,F139,D$93-SUM(E$100:E139))</f>
        <v>0</v>
      </c>
      <c r="E140" s="510">
        <f>IF(+J97&lt;F139,J97,D140)</f>
        <v>0</v>
      </c>
      <c r="F140" s="511">
        <f t="shared" si="53"/>
        <v>0</v>
      </c>
      <c r="G140" s="511">
        <f t="shared" si="47"/>
        <v>0</v>
      </c>
      <c r="H140" s="645">
        <f t="shared" si="44"/>
        <v>0</v>
      </c>
      <c r="I140" s="573">
        <f t="shared" si="48"/>
        <v>0</v>
      </c>
      <c r="J140" s="505">
        <f t="shared" si="49"/>
        <v>0</v>
      </c>
      <c r="K140" s="505"/>
      <c r="L140" s="513"/>
      <c r="M140" s="505">
        <f t="shared" si="50"/>
        <v>0</v>
      </c>
      <c r="N140" s="513"/>
      <c r="O140" s="505">
        <f t="shared" si="51"/>
        <v>0</v>
      </c>
      <c r="P140" s="505">
        <f t="shared" si="52"/>
        <v>0</v>
      </c>
      <c r="Q140" s="244"/>
      <c r="R140" s="244"/>
      <c r="S140" s="244"/>
      <c r="T140" s="244"/>
      <c r="U140" s="244"/>
    </row>
    <row r="141" spans="2:21" ht="12.5">
      <c r="B141" s="145" t="str">
        <f t="shared" si="46"/>
        <v/>
      </c>
      <c r="C141" s="496">
        <f>IF(D94="","-",+C140+1)</f>
        <v>2052</v>
      </c>
      <c r="D141" s="350">
        <f>IF(F140+SUM(E$100:E140)=D$93,F140,D$93-SUM(E$100:E140))</f>
        <v>0</v>
      </c>
      <c r="E141" s="510">
        <f>IF(+J97&lt;F140,J97,D141)</f>
        <v>0</v>
      </c>
      <c r="F141" s="511">
        <f t="shared" si="53"/>
        <v>0</v>
      </c>
      <c r="G141" s="511">
        <f t="shared" si="47"/>
        <v>0</v>
      </c>
      <c r="H141" s="645">
        <f t="shared" si="44"/>
        <v>0</v>
      </c>
      <c r="I141" s="573">
        <f t="shared" si="48"/>
        <v>0</v>
      </c>
      <c r="J141" s="505">
        <f t="shared" si="49"/>
        <v>0</v>
      </c>
      <c r="K141" s="505"/>
      <c r="L141" s="513"/>
      <c r="M141" s="505">
        <f t="shared" si="50"/>
        <v>0</v>
      </c>
      <c r="N141" s="513"/>
      <c r="O141" s="505">
        <f t="shared" si="51"/>
        <v>0</v>
      </c>
      <c r="P141" s="505">
        <f t="shared" si="52"/>
        <v>0</v>
      </c>
      <c r="Q141" s="244"/>
      <c r="R141" s="244"/>
      <c r="S141" s="244"/>
      <c r="T141" s="244"/>
      <c r="U141" s="244"/>
    </row>
    <row r="142" spans="2:21" ht="12.5">
      <c r="B142" s="145" t="str">
        <f t="shared" si="46"/>
        <v/>
      </c>
      <c r="C142" s="496">
        <f>IF(D94="","-",+C141+1)</f>
        <v>2053</v>
      </c>
      <c r="D142" s="350">
        <f>IF(F141+SUM(E$100:E141)=D$93,F141,D$93-SUM(E$100:E141))</f>
        <v>0</v>
      </c>
      <c r="E142" s="510">
        <f>IF(+J97&lt;F141,J97,D142)</f>
        <v>0</v>
      </c>
      <c r="F142" s="511">
        <f t="shared" si="53"/>
        <v>0</v>
      </c>
      <c r="G142" s="511">
        <f t="shared" si="47"/>
        <v>0</v>
      </c>
      <c r="H142" s="645">
        <f t="shared" si="44"/>
        <v>0</v>
      </c>
      <c r="I142" s="573">
        <f t="shared" si="48"/>
        <v>0</v>
      </c>
      <c r="J142" s="505">
        <f t="shared" si="49"/>
        <v>0</v>
      </c>
      <c r="K142" s="505"/>
      <c r="L142" s="513"/>
      <c r="M142" s="505">
        <f t="shared" si="50"/>
        <v>0</v>
      </c>
      <c r="N142" s="513"/>
      <c r="O142" s="505">
        <f t="shared" si="51"/>
        <v>0</v>
      </c>
      <c r="P142" s="505">
        <f t="shared" si="52"/>
        <v>0</v>
      </c>
      <c r="Q142" s="244"/>
      <c r="R142" s="244"/>
      <c r="S142" s="244"/>
      <c r="T142" s="244"/>
      <c r="U142" s="244"/>
    </row>
    <row r="143" spans="2:21" ht="12.5">
      <c r="B143" s="145" t="str">
        <f t="shared" si="46"/>
        <v/>
      </c>
      <c r="C143" s="496">
        <f>IF(D94="","-",+C142+1)</f>
        <v>2054</v>
      </c>
      <c r="D143" s="350">
        <f>IF(F142+SUM(E$100:E142)=D$93,F142,D$93-SUM(E$100:E142))</f>
        <v>0</v>
      </c>
      <c r="E143" s="510">
        <f>IF(+J97&lt;F142,J97,D143)</f>
        <v>0</v>
      </c>
      <c r="F143" s="511">
        <f t="shared" si="53"/>
        <v>0</v>
      </c>
      <c r="G143" s="511">
        <f t="shared" si="47"/>
        <v>0</v>
      </c>
      <c r="H143" s="645">
        <f t="shared" si="44"/>
        <v>0</v>
      </c>
      <c r="I143" s="573">
        <f t="shared" si="48"/>
        <v>0</v>
      </c>
      <c r="J143" s="505">
        <f t="shared" si="49"/>
        <v>0</v>
      </c>
      <c r="K143" s="505"/>
      <c r="L143" s="513"/>
      <c r="M143" s="505">
        <f t="shared" si="50"/>
        <v>0</v>
      </c>
      <c r="N143" s="513"/>
      <c r="O143" s="505">
        <f t="shared" si="51"/>
        <v>0</v>
      </c>
      <c r="P143" s="505">
        <f t="shared" si="52"/>
        <v>0</v>
      </c>
      <c r="Q143" s="244"/>
      <c r="R143" s="244"/>
      <c r="S143" s="244"/>
      <c r="T143" s="244"/>
      <c r="U143" s="244"/>
    </row>
    <row r="144" spans="2:21" ht="12.5">
      <c r="B144" s="145" t="str">
        <f t="shared" si="46"/>
        <v/>
      </c>
      <c r="C144" s="496">
        <f>IF(D94="","-",+C143+1)</f>
        <v>2055</v>
      </c>
      <c r="D144" s="350">
        <f>IF(F143+SUM(E$100:E143)=D$93,F143,D$93-SUM(E$100:E143))</f>
        <v>0</v>
      </c>
      <c r="E144" s="510">
        <f>IF(+J97&lt;F143,J97,D144)</f>
        <v>0</v>
      </c>
      <c r="F144" s="511">
        <f t="shared" si="53"/>
        <v>0</v>
      </c>
      <c r="G144" s="511">
        <f t="shared" si="47"/>
        <v>0</v>
      </c>
      <c r="H144" s="645">
        <f t="shared" si="44"/>
        <v>0</v>
      </c>
      <c r="I144" s="573">
        <f t="shared" si="48"/>
        <v>0</v>
      </c>
      <c r="J144" s="505">
        <f t="shared" si="49"/>
        <v>0</v>
      </c>
      <c r="K144" s="505"/>
      <c r="L144" s="513"/>
      <c r="M144" s="505">
        <f t="shared" si="50"/>
        <v>0</v>
      </c>
      <c r="N144" s="513"/>
      <c r="O144" s="505">
        <f t="shared" si="51"/>
        <v>0</v>
      </c>
      <c r="P144" s="505">
        <f t="shared" si="52"/>
        <v>0</v>
      </c>
      <c r="Q144" s="244"/>
      <c r="R144" s="244"/>
      <c r="S144" s="244"/>
      <c r="T144" s="244"/>
      <c r="U144" s="244"/>
    </row>
    <row r="145" spans="2:21" ht="12.5">
      <c r="B145" s="145" t="str">
        <f t="shared" si="46"/>
        <v/>
      </c>
      <c r="C145" s="496">
        <f>IF(D94="","-",+C144+1)</f>
        <v>2056</v>
      </c>
      <c r="D145" s="350">
        <f>IF(F144+SUM(E$100:E144)=D$93,F144,D$93-SUM(E$100:E144))</f>
        <v>0</v>
      </c>
      <c r="E145" s="510">
        <f>IF(+J97&lt;F144,J97,D145)</f>
        <v>0</v>
      </c>
      <c r="F145" s="511">
        <f t="shared" si="53"/>
        <v>0</v>
      </c>
      <c r="G145" s="511">
        <f t="shared" si="47"/>
        <v>0</v>
      </c>
      <c r="H145" s="645">
        <f t="shared" si="44"/>
        <v>0</v>
      </c>
      <c r="I145" s="573">
        <f t="shared" si="48"/>
        <v>0</v>
      </c>
      <c r="J145" s="505">
        <f t="shared" si="49"/>
        <v>0</v>
      </c>
      <c r="K145" s="505"/>
      <c r="L145" s="513"/>
      <c r="M145" s="505">
        <f t="shared" si="50"/>
        <v>0</v>
      </c>
      <c r="N145" s="513"/>
      <c r="O145" s="505">
        <f t="shared" si="51"/>
        <v>0</v>
      </c>
      <c r="P145" s="505">
        <f t="shared" si="52"/>
        <v>0</v>
      </c>
      <c r="Q145" s="244"/>
      <c r="R145" s="244"/>
      <c r="S145" s="244"/>
      <c r="T145" s="244"/>
      <c r="U145" s="244"/>
    </row>
    <row r="146" spans="2:21" ht="12.5">
      <c r="B146" s="145" t="str">
        <f t="shared" si="46"/>
        <v/>
      </c>
      <c r="C146" s="496">
        <f>IF(D94="","-",+C145+1)</f>
        <v>2057</v>
      </c>
      <c r="D146" s="350">
        <f>IF(F145+SUM(E$100:E145)=D$93,F145,D$93-SUM(E$100:E145))</f>
        <v>0</v>
      </c>
      <c r="E146" s="510">
        <f>IF(+J97&lt;F145,J97,D146)</f>
        <v>0</v>
      </c>
      <c r="F146" s="511">
        <f t="shared" si="53"/>
        <v>0</v>
      </c>
      <c r="G146" s="511">
        <f t="shared" si="47"/>
        <v>0</v>
      </c>
      <c r="H146" s="645">
        <f t="shared" si="44"/>
        <v>0</v>
      </c>
      <c r="I146" s="573">
        <f t="shared" si="48"/>
        <v>0</v>
      </c>
      <c r="J146" s="505">
        <f t="shared" si="49"/>
        <v>0</v>
      </c>
      <c r="K146" s="505"/>
      <c r="L146" s="513"/>
      <c r="M146" s="505">
        <f t="shared" si="50"/>
        <v>0</v>
      </c>
      <c r="N146" s="513"/>
      <c r="O146" s="505">
        <f t="shared" si="51"/>
        <v>0</v>
      </c>
      <c r="P146" s="505">
        <f t="shared" si="52"/>
        <v>0</v>
      </c>
      <c r="Q146" s="244"/>
      <c r="R146" s="244"/>
      <c r="S146" s="244"/>
      <c r="T146" s="244"/>
      <c r="U146" s="244"/>
    </row>
    <row r="147" spans="2:21" ht="12.5">
      <c r="B147" s="145" t="str">
        <f t="shared" si="46"/>
        <v/>
      </c>
      <c r="C147" s="496">
        <f>IF(D94="","-",+C146+1)</f>
        <v>2058</v>
      </c>
      <c r="D147" s="350">
        <f>IF(F146+SUM(E$100:E146)=D$93,F146,D$93-SUM(E$100:E146))</f>
        <v>0</v>
      </c>
      <c r="E147" s="510">
        <f>IF(+J97&lt;F146,J97,D147)</f>
        <v>0</v>
      </c>
      <c r="F147" s="511">
        <f t="shared" si="53"/>
        <v>0</v>
      </c>
      <c r="G147" s="511">
        <f t="shared" si="47"/>
        <v>0</v>
      </c>
      <c r="H147" s="645">
        <f t="shared" si="44"/>
        <v>0</v>
      </c>
      <c r="I147" s="573">
        <f t="shared" si="48"/>
        <v>0</v>
      </c>
      <c r="J147" s="505">
        <f t="shared" si="49"/>
        <v>0</v>
      </c>
      <c r="K147" s="505"/>
      <c r="L147" s="513"/>
      <c r="M147" s="505">
        <f t="shared" si="50"/>
        <v>0</v>
      </c>
      <c r="N147" s="513"/>
      <c r="O147" s="505">
        <f t="shared" si="51"/>
        <v>0</v>
      </c>
      <c r="P147" s="505">
        <f t="shared" si="52"/>
        <v>0</v>
      </c>
      <c r="Q147" s="244"/>
      <c r="R147" s="244"/>
      <c r="S147" s="244"/>
      <c r="T147" s="244"/>
      <c r="U147" s="244"/>
    </row>
    <row r="148" spans="2:21" ht="12.5">
      <c r="B148" s="145" t="str">
        <f t="shared" si="46"/>
        <v/>
      </c>
      <c r="C148" s="496">
        <f>IF(D94="","-",+C147+1)</f>
        <v>2059</v>
      </c>
      <c r="D148" s="350">
        <f>IF(F147+SUM(E$100:E147)=D$93,F147,D$93-SUM(E$100:E147))</f>
        <v>0</v>
      </c>
      <c r="E148" s="510">
        <f>IF(+J97&lt;F147,J97,D148)</f>
        <v>0</v>
      </c>
      <c r="F148" s="511">
        <f t="shared" si="53"/>
        <v>0</v>
      </c>
      <c r="G148" s="511">
        <f t="shared" si="47"/>
        <v>0</v>
      </c>
      <c r="H148" s="645">
        <f t="shared" si="44"/>
        <v>0</v>
      </c>
      <c r="I148" s="573">
        <f t="shared" si="48"/>
        <v>0</v>
      </c>
      <c r="J148" s="505">
        <f t="shared" si="49"/>
        <v>0</v>
      </c>
      <c r="K148" s="505"/>
      <c r="L148" s="513"/>
      <c r="M148" s="505">
        <f t="shared" si="50"/>
        <v>0</v>
      </c>
      <c r="N148" s="513"/>
      <c r="O148" s="505">
        <f t="shared" si="51"/>
        <v>0</v>
      </c>
      <c r="P148" s="505">
        <f t="shared" si="52"/>
        <v>0</v>
      </c>
      <c r="Q148" s="244"/>
      <c r="R148" s="244"/>
      <c r="S148" s="244"/>
      <c r="T148" s="244"/>
      <c r="U148" s="244"/>
    </row>
    <row r="149" spans="2:21" ht="12.5">
      <c r="B149" s="145" t="str">
        <f t="shared" si="46"/>
        <v/>
      </c>
      <c r="C149" s="496">
        <f>IF(D94="","-",+C148+1)</f>
        <v>2060</v>
      </c>
      <c r="D149" s="350">
        <f>IF(F148+SUM(E$100:E148)=D$93,F148,D$93-SUM(E$100:E148))</f>
        <v>0</v>
      </c>
      <c r="E149" s="510">
        <f>IF(+J97&lt;F148,J97,D149)</f>
        <v>0</v>
      </c>
      <c r="F149" s="511">
        <f t="shared" si="53"/>
        <v>0</v>
      </c>
      <c r="G149" s="511">
        <f t="shared" si="47"/>
        <v>0</v>
      </c>
      <c r="H149" s="645">
        <f t="shared" si="44"/>
        <v>0</v>
      </c>
      <c r="I149" s="573">
        <f t="shared" si="48"/>
        <v>0</v>
      </c>
      <c r="J149" s="505">
        <f t="shared" si="49"/>
        <v>0</v>
      </c>
      <c r="K149" s="505"/>
      <c r="L149" s="513"/>
      <c r="M149" s="505">
        <f t="shared" si="50"/>
        <v>0</v>
      </c>
      <c r="N149" s="513"/>
      <c r="O149" s="505">
        <f t="shared" si="51"/>
        <v>0</v>
      </c>
      <c r="P149" s="505">
        <f t="shared" si="52"/>
        <v>0</v>
      </c>
      <c r="Q149" s="244"/>
      <c r="R149" s="244"/>
      <c r="S149" s="244"/>
      <c r="T149" s="244"/>
      <c r="U149" s="244"/>
    </row>
    <row r="150" spans="2:21" ht="12.5">
      <c r="B150" s="145" t="str">
        <f t="shared" si="46"/>
        <v/>
      </c>
      <c r="C150" s="496">
        <f>IF(D94="","-",+C149+1)</f>
        <v>2061</v>
      </c>
      <c r="D150" s="350">
        <f>IF(F149+SUM(E$100:E149)=D$93,F149,D$93-SUM(E$100:E149))</f>
        <v>0</v>
      </c>
      <c r="E150" s="510">
        <f>IF(+J97&lt;F149,J97,D150)</f>
        <v>0</v>
      </c>
      <c r="F150" s="511">
        <f t="shared" si="53"/>
        <v>0</v>
      </c>
      <c r="G150" s="511">
        <f t="shared" si="47"/>
        <v>0</v>
      </c>
      <c r="H150" s="645">
        <f t="shared" si="44"/>
        <v>0</v>
      </c>
      <c r="I150" s="573">
        <f t="shared" si="48"/>
        <v>0</v>
      </c>
      <c r="J150" s="505">
        <f t="shared" si="49"/>
        <v>0</v>
      </c>
      <c r="K150" s="505"/>
      <c r="L150" s="513"/>
      <c r="M150" s="505">
        <f t="shared" si="50"/>
        <v>0</v>
      </c>
      <c r="N150" s="513"/>
      <c r="O150" s="505">
        <f t="shared" si="51"/>
        <v>0</v>
      </c>
      <c r="P150" s="505">
        <f t="shared" si="52"/>
        <v>0</v>
      </c>
      <c r="Q150" s="244"/>
      <c r="R150" s="244"/>
      <c r="S150" s="244"/>
      <c r="T150" s="244"/>
      <c r="U150" s="244"/>
    </row>
    <row r="151" spans="2:21" ht="12.5">
      <c r="B151" s="145" t="str">
        <f t="shared" si="46"/>
        <v/>
      </c>
      <c r="C151" s="496">
        <f>IF(D94="","-",+C150+1)</f>
        <v>2062</v>
      </c>
      <c r="D151" s="350">
        <f>IF(F150+SUM(E$100:E150)=D$93,F150,D$93-SUM(E$100:E150))</f>
        <v>0</v>
      </c>
      <c r="E151" s="510">
        <f>IF(+J97&lt;F150,J97,D151)</f>
        <v>0</v>
      </c>
      <c r="F151" s="511">
        <f t="shared" si="53"/>
        <v>0</v>
      </c>
      <c r="G151" s="511">
        <f t="shared" si="47"/>
        <v>0</v>
      </c>
      <c r="H151" s="645">
        <f t="shared" si="44"/>
        <v>0</v>
      </c>
      <c r="I151" s="573">
        <f t="shared" si="48"/>
        <v>0</v>
      </c>
      <c r="J151" s="505">
        <f t="shared" si="49"/>
        <v>0</v>
      </c>
      <c r="K151" s="505"/>
      <c r="L151" s="513"/>
      <c r="M151" s="505">
        <f t="shared" si="50"/>
        <v>0</v>
      </c>
      <c r="N151" s="513"/>
      <c r="O151" s="505">
        <f t="shared" si="51"/>
        <v>0</v>
      </c>
      <c r="P151" s="505">
        <f t="shared" si="52"/>
        <v>0</v>
      </c>
      <c r="Q151" s="244"/>
      <c r="R151" s="244"/>
      <c r="S151" s="244"/>
      <c r="T151" s="244"/>
      <c r="U151" s="244"/>
    </row>
    <row r="152" spans="2:21" ht="12.5">
      <c r="B152" s="145" t="str">
        <f t="shared" si="46"/>
        <v/>
      </c>
      <c r="C152" s="496">
        <f>IF(D94="","-",+C151+1)</f>
        <v>2063</v>
      </c>
      <c r="D152" s="350">
        <f>IF(F151+SUM(E$100:E151)=D$93,F151,D$93-SUM(E$100:E151))</f>
        <v>0</v>
      </c>
      <c r="E152" s="510">
        <f>IF(+J97&lt;F151,J97,D152)</f>
        <v>0</v>
      </c>
      <c r="F152" s="511">
        <f t="shared" si="53"/>
        <v>0</v>
      </c>
      <c r="G152" s="511">
        <f t="shared" si="47"/>
        <v>0</v>
      </c>
      <c r="H152" s="645">
        <f t="shared" si="44"/>
        <v>0</v>
      </c>
      <c r="I152" s="573">
        <f t="shared" si="48"/>
        <v>0</v>
      </c>
      <c r="J152" s="505">
        <f t="shared" si="49"/>
        <v>0</v>
      </c>
      <c r="K152" s="505"/>
      <c r="L152" s="513"/>
      <c r="M152" s="505">
        <f t="shared" si="50"/>
        <v>0</v>
      </c>
      <c r="N152" s="513"/>
      <c r="O152" s="505">
        <f t="shared" si="51"/>
        <v>0</v>
      </c>
      <c r="P152" s="505">
        <f t="shared" si="52"/>
        <v>0</v>
      </c>
      <c r="Q152" s="244"/>
      <c r="R152" s="244"/>
      <c r="S152" s="244"/>
      <c r="T152" s="244"/>
      <c r="U152" s="244"/>
    </row>
    <row r="153" spans="2:21" ht="12.5">
      <c r="B153" s="145" t="str">
        <f t="shared" si="46"/>
        <v/>
      </c>
      <c r="C153" s="496">
        <f>IF(D94="","-",+C152+1)</f>
        <v>2064</v>
      </c>
      <c r="D153" s="350">
        <f>IF(F152+SUM(E$100:E152)=D$93,F152,D$93-SUM(E$100:E152))</f>
        <v>0</v>
      </c>
      <c r="E153" s="510">
        <f>IF(+J97&lt;F152,J97,D153)</f>
        <v>0</v>
      </c>
      <c r="F153" s="511">
        <f t="shared" si="53"/>
        <v>0</v>
      </c>
      <c r="G153" s="511">
        <f t="shared" si="47"/>
        <v>0</v>
      </c>
      <c r="H153" s="645">
        <f t="shared" si="44"/>
        <v>0</v>
      </c>
      <c r="I153" s="573">
        <f t="shared" si="48"/>
        <v>0</v>
      </c>
      <c r="J153" s="505">
        <f t="shared" si="49"/>
        <v>0</v>
      </c>
      <c r="K153" s="505"/>
      <c r="L153" s="513"/>
      <c r="M153" s="505">
        <f t="shared" si="50"/>
        <v>0</v>
      </c>
      <c r="N153" s="513"/>
      <c r="O153" s="505">
        <f t="shared" si="51"/>
        <v>0</v>
      </c>
      <c r="P153" s="505">
        <f t="shared" si="52"/>
        <v>0</v>
      </c>
      <c r="Q153" s="244"/>
      <c r="R153" s="244"/>
      <c r="S153" s="244"/>
      <c r="T153" s="244"/>
      <c r="U153" s="244"/>
    </row>
    <row r="154" spans="2:21" ht="12.5">
      <c r="B154" s="145" t="str">
        <f t="shared" si="46"/>
        <v/>
      </c>
      <c r="C154" s="496">
        <f>IF(D94="","-",+C153+1)</f>
        <v>2065</v>
      </c>
      <c r="D154" s="350">
        <f>IF(F153+SUM(E$100:E153)=D$93,F153,D$93-SUM(E$100:E153))</f>
        <v>0</v>
      </c>
      <c r="E154" s="510">
        <f>IF(+J97&lt;F153,J97,D154)</f>
        <v>0</v>
      </c>
      <c r="F154" s="511">
        <f t="shared" si="53"/>
        <v>0</v>
      </c>
      <c r="G154" s="511">
        <f t="shared" si="47"/>
        <v>0</v>
      </c>
      <c r="H154" s="645">
        <f t="shared" si="44"/>
        <v>0</v>
      </c>
      <c r="I154" s="573">
        <f t="shared" si="48"/>
        <v>0</v>
      </c>
      <c r="J154" s="505">
        <f t="shared" si="49"/>
        <v>0</v>
      </c>
      <c r="K154" s="505"/>
      <c r="L154" s="513"/>
      <c r="M154" s="505">
        <f t="shared" si="50"/>
        <v>0</v>
      </c>
      <c r="N154" s="513"/>
      <c r="O154" s="505">
        <f t="shared" si="51"/>
        <v>0</v>
      </c>
      <c r="P154" s="505">
        <f t="shared" si="52"/>
        <v>0</v>
      </c>
      <c r="Q154" s="244"/>
      <c r="R154" s="244"/>
      <c r="S154" s="244"/>
      <c r="T154" s="244"/>
      <c r="U154" s="244"/>
    </row>
    <row r="155" spans="2:21" ht="13" thickBot="1">
      <c r="B155" s="145" t="str">
        <f t="shared" si="46"/>
        <v/>
      </c>
      <c r="C155" s="525">
        <f>IF(D94="","-",+C154+1)</f>
        <v>2066</v>
      </c>
      <c r="D155" s="528">
        <f>IF(F154+SUM(E$100:E154)=D$93,F154,D$93-SUM(E$100:E154))</f>
        <v>0</v>
      </c>
      <c r="E155" s="527">
        <f>IF(+J97&lt;F154,J97,D155)</f>
        <v>0</v>
      </c>
      <c r="F155" s="528">
        <f t="shared" si="53"/>
        <v>0</v>
      </c>
      <c r="G155" s="528">
        <f t="shared" si="47"/>
        <v>0</v>
      </c>
      <c r="H155" s="645">
        <f t="shared" si="44"/>
        <v>0</v>
      </c>
      <c r="I155" s="574">
        <f t="shared" si="48"/>
        <v>0</v>
      </c>
      <c r="J155" s="532">
        <f t="shared" si="49"/>
        <v>0</v>
      </c>
      <c r="K155" s="505"/>
      <c r="L155" s="531"/>
      <c r="M155" s="532">
        <f t="shared" si="50"/>
        <v>0</v>
      </c>
      <c r="N155" s="531"/>
      <c r="O155" s="532">
        <f t="shared" si="51"/>
        <v>0</v>
      </c>
      <c r="P155" s="532">
        <f t="shared" si="52"/>
        <v>0</v>
      </c>
      <c r="Q155" s="244"/>
      <c r="R155" s="244"/>
      <c r="S155" s="244"/>
      <c r="T155" s="244"/>
      <c r="U155" s="244"/>
    </row>
    <row r="156" spans="2:21" ht="12.5">
      <c r="C156" s="350" t="s">
        <v>75</v>
      </c>
      <c r="D156" s="295"/>
      <c r="E156" s="295">
        <f>SUM(E100:E155)</f>
        <v>614753.00000000012</v>
      </c>
      <c r="F156" s="295"/>
      <c r="G156" s="295"/>
      <c r="H156" s="295">
        <f>SUM(H100:H155)</f>
        <v>1604802.3584926678</v>
      </c>
      <c r="I156" s="295">
        <f>SUM(I100:I155)</f>
        <v>1604802.3584926678</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55" priority="1" stopIfTrue="1" operator="equal">
      <formula>$I$10</formula>
    </cfRule>
  </conditionalFormatting>
  <conditionalFormatting sqref="C100:C155">
    <cfRule type="cellIs" dxfId="54"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2">
    <tabColor rgb="FF92D050"/>
  </sheetPr>
  <dimension ref="A1:U163"/>
  <sheetViews>
    <sheetView topLeftCell="A71" zoomScaleNormal="100" zoomScaleSheetLayoutView="90"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4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591" t="s">
        <v>237</v>
      </c>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1288740.9368321924</v>
      </c>
      <c r="P5" s="244"/>
      <c r="R5" s="244"/>
      <c r="S5" s="244"/>
      <c r="T5" s="244"/>
      <c r="U5" s="244"/>
    </row>
    <row r="6" spans="1:21" ht="15.5">
      <c r="C6" s="592" t="s">
        <v>238</v>
      </c>
      <c r="D6" s="293"/>
      <c r="E6" s="244"/>
      <c r="F6" s="244"/>
      <c r="G6" s="244"/>
      <c r="H6" s="450"/>
      <c r="I6" s="450"/>
      <c r="J6" s="451"/>
      <c r="K6" s="452" t="s">
        <v>243</v>
      </c>
      <c r="L6" s="453"/>
      <c r="M6" s="279"/>
      <c r="N6" s="454">
        <f>VLOOKUP(I10,C17:I73,6)</f>
        <v>1288740.9368321924</v>
      </c>
      <c r="O6" s="244"/>
      <c r="P6" s="244"/>
      <c r="R6" s="244"/>
      <c r="S6" s="244"/>
      <c r="T6" s="244"/>
      <c r="U6" s="244"/>
    </row>
    <row r="7" spans="1:21" ht="13.5" thickBot="1">
      <c r="C7" s="455" t="s">
        <v>46</v>
      </c>
      <c r="D7" s="456" t="s">
        <v>201</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200</v>
      </c>
      <c r="E9" s="466"/>
      <c r="F9" s="466"/>
      <c r="G9" s="466"/>
      <c r="H9" s="466"/>
      <c r="I9" s="467"/>
      <c r="J9" s="468"/>
      <c r="O9" s="469"/>
      <c r="P9" s="279"/>
      <c r="R9" s="244"/>
      <c r="S9" s="244"/>
      <c r="T9" s="244"/>
      <c r="U9" s="244"/>
    </row>
    <row r="10" spans="1:21" ht="13">
      <c r="C10" s="470" t="s">
        <v>49</v>
      </c>
      <c r="D10" s="471">
        <v>11038232</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2011</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6</v>
      </c>
      <c r="E12" s="473" t="s">
        <v>55</v>
      </c>
      <c r="F12" s="409"/>
      <c r="G12" s="221"/>
      <c r="H12" s="221"/>
      <c r="I12" s="477">
        <f>'OKT.WS.F.BPU.ATRR.Projected'!$F$78</f>
        <v>0.11475877389767174</v>
      </c>
      <c r="J12" s="579"/>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334491.87878787878</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49" si="0">IF(D17=F16,"","IU")</f>
        <v>IU</v>
      </c>
      <c r="C17" s="581">
        <f>IF(D11= "","-",D11)</f>
        <v>2011</v>
      </c>
      <c r="D17" s="497">
        <v>12876000</v>
      </c>
      <c r="E17" s="498">
        <v>18562.052446566122</v>
      </c>
      <c r="F17" s="497">
        <v>12857437.947553433</v>
      </c>
      <c r="G17" s="499">
        <v>1690105.6704770608</v>
      </c>
      <c r="H17" s="500">
        <v>1690105.6704770608</v>
      </c>
      <c r="I17" s="585">
        <f t="shared" ref="I17:I49" si="1">H17-G17</f>
        <v>0</v>
      </c>
      <c r="J17" s="351"/>
      <c r="K17" s="593">
        <f t="shared" ref="K17:K22" si="2">G17</f>
        <v>1690105.6704770608</v>
      </c>
      <c r="L17" s="594">
        <f t="shared" ref="L17:L49" si="3">IF(K17&lt;&gt;0,+G17-K17,0)</f>
        <v>0</v>
      </c>
      <c r="M17" s="593">
        <f t="shared" ref="M17:M22" si="4">H17</f>
        <v>1690105.6704770608</v>
      </c>
      <c r="N17" s="595">
        <f t="shared" ref="N17:N49" si="5">IF(M17&lt;&gt;0,+H17-M17,0)</f>
        <v>0</v>
      </c>
      <c r="O17" s="596">
        <f t="shared" ref="O17:O49" si="6">+N17-L17</f>
        <v>0</v>
      </c>
      <c r="P17" s="279"/>
      <c r="R17" s="244"/>
      <c r="S17" s="244"/>
      <c r="T17" s="244"/>
      <c r="U17" s="244"/>
    </row>
    <row r="18" spans="2:21" ht="12.5">
      <c r="B18" s="145" t="str">
        <f t="shared" si="0"/>
        <v/>
      </c>
      <c r="C18" s="496">
        <f>IF(D11="","-",+C17+1)</f>
        <v>2012</v>
      </c>
      <c r="D18" s="506">
        <v>12857437.947553433</v>
      </c>
      <c r="E18" s="499">
        <v>203958.10236185769</v>
      </c>
      <c r="F18" s="506">
        <v>12653479.845191576</v>
      </c>
      <c r="G18" s="499">
        <v>1426879.3827639234</v>
      </c>
      <c r="H18" s="500">
        <v>1426879.3827639234</v>
      </c>
      <c r="I18" s="501">
        <v>0</v>
      </c>
      <c r="J18" s="351"/>
      <c r="K18" s="593">
        <f t="shared" si="2"/>
        <v>1426879.3827639234</v>
      </c>
      <c r="L18" s="597">
        <f t="shared" si="3"/>
        <v>0</v>
      </c>
      <c r="M18" s="593">
        <f t="shared" si="4"/>
        <v>1426879.3827639234</v>
      </c>
      <c r="N18" s="595">
        <f t="shared" si="5"/>
        <v>0</v>
      </c>
      <c r="O18" s="597">
        <f t="shared" si="6"/>
        <v>0</v>
      </c>
      <c r="P18" s="279"/>
      <c r="R18" s="244"/>
      <c r="S18" s="244"/>
      <c r="T18" s="244"/>
      <c r="U18" s="244"/>
    </row>
    <row r="19" spans="2:21" ht="12.5">
      <c r="B19" s="145" t="str">
        <f t="shared" si="0"/>
        <v>IU</v>
      </c>
      <c r="C19" s="496">
        <f>IF(D11="","-",+C18+1)</f>
        <v>2013</v>
      </c>
      <c r="D19" s="506">
        <v>11520279.845191576</v>
      </c>
      <c r="E19" s="499">
        <v>203141.16446368746</v>
      </c>
      <c r="F19" s="506">
        <v>11317138.680727888</v>
      </c>
      <c r="G19" s="499">
        <v>1439439.106345837</v>
      </c>
      <c r="H19" s="500">
        <v>1439439.106345837</v>
      </c>
      <c r="I19" s="585">
        <v>0</v>
      </c>
      <c r="J19" s="351"/>
      <c r="K19" s="593">
        <f t="shared" si="2"/>
        <v>1439439.106345837</v>
      </c>
      <c r="L19" s="597">
        <f t="shared" ref="L19:L24" si="7">IF(K19&lt;&gt;0,+G19-K19,0)</f>
        <v>0</v>
      </c>
      <c r="M19" s="593">
        <f t="shared" si="4"/>
        <v>1439439.106345837</v>
      </c>
      <c r="N19" s="595">
        <f>IF(M19&lt;&gt;0,+H19-M19,0)</f>
        <v>0</v>
      </c>
      <c r="O19" s="597">
        <f>+N19-L19</f>
        <v>0</v>
      </c>
      <c r="P19" s="279"/>
      <c r="R19" s="244"/>
      <c r="S19" s="244"/>
      <c r="T19" s="244"/>
      <c r="U19" s="244"/>
    </row>
    <row r="20" spans="2:21" ht="12.5">
      <c r="B20" s="145" t="str">
        <f t="shared" si="0"/>
        <v/>
      </c>
      <c r="C20" s="496">
        <f>IF(D11="","-",+C19+1)</f>
        <v>2014</v>
      </c>
      <c r="D20" s="506">
        <v>11317138.680727888</v>
      </c>
      <c r="E20" s="499">
        <v>203141.16446368746</v>
      </c>
      <c r="F20" s="506">
        <v>11113997.5162642</v>
      </c>
      <c r="G20" s="499">
        <v>1425984.6077299202</v>
      </c>
      <c r="H20" s="500">
        <v>1425984.6077299202</v>
      </c>
      <c r="I20" s="501">
        <v>0</v>
      </c>
      <c r="J20" s="501"/>
      <c r="K20" s="593">
        <f t="shared" si="2"/>
        <v>1425984.6077299202</v>
      </c>
      <c r="L20" s="597">
        <f t="shared" si="7"/>
        <v>0</v>
      </c>
      <c r="M20" s="593">
        <f t="shared" si="4"/>
        <v>1425984.6077299202</v>
      </c>
      <c r="N20" s="595">
        <f>IF(M20&lt;&gt;0,+H20-M20,0)</f>
        <v>0</v>
      </c>
      <c r="O20" s="597">
        <f>+N20-L20</f>
        <v>0</v>
      </c>
      <c r="P20" s="279"/>
      <c r="R20" s="244"/>
      <c r="S20" s="244"/>
      <c r="T20" s="244"/>
      <c r="U20" s="244"/>
    </row>
    <row r="21" spans="2:21" ht="12.5">
      <c r="B21" s="145" t="str">
        <f t="shared" si="0"/>
        <v/>
      </c>
      <c r="C21" s="496">
        <f>IF(D12="","-",+C20+1)</f>
        <v>2015</v>
      </c>
      <c r="D21" s="506">
        <v>11113997.5162642</v>
      </c>
      <c r="E21" s="499">
        <v>203141.16446368746</v>
      </c>
      <c r="F21" s="506">
        <v>10910856.351800513</v>
      </c>
      <c r="G21" s="499">
        <v>1327673.3550101635</v>
      </c>
      <c r="H21" s="500">
        <v>1327673.3550101635</v>
      </c>
      <c r="I21" s="501">
        <v>0</v>
      </c>
      <c r="J21" s="501"/>
      <c r="K21" s="593">
        <f t="shared" si="2"/>
        <v>1327673.3550101635</v>
      </c>
      <c r="L21" s="597">
        <f t="shared" si="7"/>
        <v>0</v>
      </c>
      <c r="M21" s="593">
        <f t="shared" si="4"/>
        <v>1327673.3550101635</v>
      </c>
      <c r="N21" s="595">
        <f>IF(M21&lt;&gt;0,+H21-M21,0)</f>
        <v>0</v>
      </c>
      <c r="O21" s="597">
        <f>+N21-L21</f>
        <v>0</v>
      </c>
      <c r="P21" s="279"/>
      <c r="R21" s="244"/>
      <c r="S21" s="244"/>
      <c r="T21" s="244"/>
      <c r="U21" s="244"/>
    </row>
    <row r="22" spans="2:21" ht="12.5">
      <c r="B22" s="145" t="str">
        <f>IF(D22=F21,"","IU")</f>
        <v>IU</v>
      </c>
      <c r="C22" s="496">
        <f>IF(D11="","-",+C21+1)</f>
        <v>2016</v>
      </c>
      <c r="D22" s="506">
        <v>10206288.351800514</v>
      </c>
      <c r="E22" s="499">
        <v>229368.43576510914</v>
      </c>
      <c r="F22" s="506">
        <v>9976919.9160354044</v>
      </c>
      <c r="G22" s="499">
        <v>1305682.2485042256</v>
      </c>
      <c r="H22" s="500">
        <v>1305682.2485042256</v>
      </c>
      <c r="I22" s="501">
        <f t="shared" si="1"/>
        <v>0</v>
      </c>
      <c r="J22" s="501"/>
      <c r="K22" s="593">
        <f t="shared" si="2"/>
        <v>1305682.2485042256</v>
      </c>
      <c r="L22" s="597">
        <f t="shared" si="7"/>
        <v>0</v>
      </c>
      <c r="M22" s="593">
        <f t="shared" si="4"/>
        <v>1305682.2485042256</v>
      </c>
      <c r="N22" s="505">
        <f t="shared" si="5"/>
        <v>0</v>
      </c>
      <c r="O22" s="505">
        <f t="shared" si="6"/>
        <v>0</v>
      </c>
      <c r="P22" s="279"/>
      <c r="R22" s="244"/>
      <c r="S22" s="244"/>
      <c r="T22" s="244"/>
      <c r="U22" s="244"/>
    </row>
    <row r="23" spans="2:21" ht="12.5">
      <c r="B23" s="145" t="str">
        <f t="shared" si="0"/>
        <v/>
      </c>
      <c r="C23" s="496">
        <f>IF(D11="","-",+C22+1)</f>
        <v>2017</v>
      </c>
      <c r="D23" s="506">
        <v>9976919.9160354044</v>
      </c>
      <c r="E23" s="499">
        <v>217033.49443183315</v>
      </c>
      <c r="F23" s="506">
        <v>9759886.4216035716</v>
      </c>
      <c r="G23" s="499">
        <v>1301965.4660054925</v>
      </c>
      <c r="H23" s="500">
        <v>1301965.4660054925</v>
      </c>
      <c r="I23" s="501">
        <f t="shared" si="1"/>
        <v>0</v>
      </c>
      <c r="J23" s="501"/>
      <c r="K23" s="593">
        <f t="shared" ref="K23:K28" si="8">G23</f>
        <v>1301965.4660054925</v>
      </c>
      <c r="L23" s="597">
        <f t="shared" si="7"/>
        <v>0</v>
      </c>
      <c r="M23" s="593">
        <f t="shared" ref="M23:M28" si="9">H23</f>
        <v>1301965.4660054925</v>
      </c>
      <c r="N23" s="505">
        <f>IF(M23&lt;&gt;0,+H23-M23,0)</f>
        <v>0</v>
      </c>
      <c r="O23" s="505">
        <f>+N23-L23</f>
        <v>0</v>
      </c>
      <c r="P23" s="279"/>
      <c r="R23" s="244"/>
      <c r="S23" s="244"/>
      <c r="T23" s="244"/>
      <c r="U23" s="244"/>
    </row>
    <row r="24" spans="2:21" ht="12.5">
      <c r="B24" s="145" t="str">
        <f t="shared" si="0"/>
        <v/>
      </c>
      <c r="C24" s="496">
        <f>IF(D11="","-",+C23+1)</f>
        <v>2018</v>
      </c>
      <c r="D24" s="506">
        <v>9759886.4216035716</v>
      </c>
      <c r="E24" s="499">
        <v>270708.0251158927</v>
      </c>
      <c r="F24" s="506">
        <v>9489178.3964876793</v>
      </c>
      <c r="G24" s="499">
        <v>1248788.1344461204</v>
      </c>
      <c r="H24" s="500">
        <v>1248788.1344461204</v>
      </c>
      <c r="I24" s="501">
        <v>0</v>
      </c>
      <c r="J24" s="501"/>
      <c r="K24" s="593">
        <f t="shared" si="8"/>
        <v>1248788.1344461204</v>
      </c>
      <c r="L24" s="597">
        <f t="shared" si="7"/>
        <v>0</v>
      </c>
      <c r="M24" s="593">
        <f t="shared" si="9"/>
        <v>1248788.1344461204</v>
      </c>
      <c r="N24" s="505">
        <f>IF(M24&lt;&gt;0,+H24-M24,0)</f>
        <v>0</v>
      </c>
      <c r="O24" s="505">
        <f>+N24-L24</f>
        <v>0</v>
      </c>
      <c r="P24" s="279"/>
      <c r="R24" s="244"/>
      <c r="S24" s="244"/>
      <c r="T24" s="244"/>
      <c r="U24" s="244"/>
    </row>
    <row r="25" spans="2:21" ht="12.5">
      <c r="B25" s="145" t="str">
        <f t="shared" si="0"/>
        <v/>
      </c>
      <c r="C25" s="496">
        <f>IF(D11="","-",+C24+1)</f>
        <v>2019</v>
      </c>
      <c r="D25" s="506">
        <v>9489178.3964876793</v>
      </c>
      <c r="E25" s="499">
        <v>327381.233179364</v>
      </c>
      <c r="F25" s="506">
        <v>9161797.163308315</v>
      </c>
      <c r="G25" s="499">
        <v>1296634.8001552834</v>
      </c>
      <c r="H25" s="500">
        <v>1296634.8001552834</v>
      </c>
      <c r="I25" s="501">
        <f t="shared" si="1"/>
        <v>0</v>
      </c>
      <c r="J25" s="501"/>
      <c r="K25" s="593">
        <f t="shared" si="8"/>
        <v>1296634.8001552834</v>
      </c>
      <c r="L25" s="597">
        <f t="shared" ref="L25" si="10">IF(K25&lt;&gt;0,+G25-K25,0)</f>
        <v>0</v>
      </c>
      <c r="M25" s="593">
        <f t="shared" si="9"/>
        <v>1296634.8001552834</v>
      </c>
      <c r="N25" s="505">
        <f>IF(M25&lt;&gt;0,+H25-M25,0)</f>
        <v>0</v>
      </c>
      <c r="O25" s="505">
        <f>+N25-L25</f>
        <v>0</v>
      </c>
      <c r="P25" s="279"/>
      <c r="R25" s="244"/>
      <c r="S25" s="244"/>
      <c r="T25" s="244"/>
      <c r="U25" s="244"/>
    </row>
    <row r="26" spans="2:21" ht="12.5">
      <c r="B26" s="145" t="str">
        <f t="shared" si="0"/>
        <v>IU</v>
      </c>
      <c r="C26" s="496">
        <f>IF(D11="","-",+C25+1)</f>
        <v>2020</v>
      </c>
      <c r="D26" s="506">
        <v>9218470.371371787</v>
      </c>
      <c r="E26" s="499">
        <v>323219.08619976818</v>
      </c>
      <c r="F26" s="506">
        <v>8895251.2851720192</v>
      </c>
      <c r="G26" s="499">
        <v>1273577.8300042083</v>
      </c>
      <c r="H26" s="500">
        <v>1273577.8300042083</v>
      </c>
      <c r="I26" s="501">
        <f t="shared" si="1"/>
        <v>0</v>
      </c>
      <c r="J26" s="501"/>
      <c r="K26" s="593">
        <f t="shared" si="8"/>
        <v>1273577.8300042083</v>
      </c>
      <c r="L26" s="597">
        <f t="shared" ref="L26" si="11">IF(K26&lt;&gt;0,+G26-K26,0)</f>
        <v>0</v>
      </c>
      <c r="M26" s="593">
        <f t="shared" si="9"/>
        <v>1273577.8300042083</v>
      </c>
      <c r="N26" s="505">
        <f t="shared" si="5"/>
        <v>0</v>
      </c>
      <c r="O26" s="505">
        <f t="shared" si="6"/>
        <v>0</v>
      </c>
      <c r="P26" s="279"/>
      <c r="R26" s="244"/>
      <c r="S26" s="244"/>
      <c r="T26" s="244"/>
      <c r="U26" s="244"/>
    </row>
    <row r="27" spans="2:21" ht="12.5">
      <c r="B27" s="145" t="str">
        <f t="shared" si="0"/>
        <v>IU</v>
      </c>
      <c r="C27" s="496">
        <f>IF(D11="","-",+C26+1)</f>
        <v>2021</v>
      </c>
      <c r="D27" s="506">
        <v>8838578.0771085471</v>
      </c>
      <c r="E27" s="499">
        <v>356072</v>
      </c>
      <c r="F27" s="506">
        <v>8482506.0771085471</v>
      </c>
      <c r="G27" s="499">
        <v>1293013.3264763721</v>
      </c>
      <c r="H27" s="500">
        <v>1293013.3264763721</v>
      </c>
      <c r="I27" s="501">
        <f t="shared" si="1"/>
        <v>0</v>
      </c>
      <c r="J27" s="501"/>
      <c r="K27" s="593">
        <f t="shared" si="8"/>
        <v>1293013.3264763721</v>
      </c>
      <c r="L27" s="597">
        <f t="shared" ref="L27" si="12">IF(K27&lt;&gt;0,+G27-K27,0)</f>
        <v>0</v>
      </c>
      <c r="M27" s="593">
        <f t="shared" si="9"/>
        <v>1293013.3264763721</v>
      </c>
      <c r="N27" s="505">
        <f t="shared" si="5"/>
        <v>0</v>
      </c>
      <c r="O27" s="505">
        <f t="shared" si="6"/>
        <v>0</v>
      </c>
      <c r="P27" s="279"/>
      <c r="R27" s="244"/>
      <c r="S27" s="244"/>
      <c r="T27" s="244"/>
      <c r="U27" s="244"/>
    </row>
    <row r="28" spans="2:21" ht="12.5">
      <c r="B28" s="145" t="str">
        <f t="shared" si="0"/>
        <v/>
      </c>
      <c r="C28" s="496">
        <f>IF(D11="","-",+C27+1)</f>
        <v>2022</v>
      </c>
      <c r="D28" s="506">
        <v>8482506.0771085471</v>
      </c>
      <c r="E28" s="499">
        <v>334491.87878787878</v>
      </c>
      <c r="F28" s="506">
        <v>8148014.1983206682</v>
      </c>
      <c r="G28" s="499">
        <v>1288740.9368321924</v>
      </c>
      <c r="H28" s="500">
        <v>1288740.9368321924</v>
      </c>
      <c r="I28" s="501">
        <f t="shared" si="1"/>
        <v>0</v>
      </c>
      <c r="J28" s="501"/>
      <c r="K28" s="593">
        <f t="shared" si="8"/>
        <v>1288740.9368321924</v>
      </c>
      <c r="L28" s="597">
        <f t="shared" ref="L28" si="13">IF(K28&lt;&gt;0,+G28-K28,0)</f>
        <v>0</v>
      </c>
      <c r="M28" s="593">
        <f t="shared" si="9"/>
        <v>1288740.9368321924</v>
      </c>
      <c r="N28" s="505">
        <f t="shared" si="5"/>
        <v>0</v>
      </c>
      <c r="O28" s="505">
        <f t="shared" si="6"/>
        <v>0</v>
      </c>
      <c r="P28" s="279"/>
      <c r="R28" s="244"/>
      <c r="S28" s="244"/>
      <c r="T28" s="244"/>
      <c r="U28" s="244"/>
    </row>
    <row r="29" spans="2:21" ht="12.5">
      <c r="B29" s="145" t="str">
        <f t="shared" si="0"/>
        <v/>
      </c>
      <c r="C29" s="496">
        <f>IF(D11="","-",+C28+1)</f>
        <v>2023</v>
      </c>
      <c r="D29" s="506">
        <v>8148014.1983206682</v>
      </c>
      <c r="E29" s="499">
        <v>356072</v>
      </c>
      <c r="F29" s="506">
        <v>7791942.1983206682</v>
      </c>
      <c r="G29" s="499">
        <v>1256941.3903317812</v>
      </c>
      <c r="H29" s="500">
        <v>1256941.3903317812</v>
      </c>
      <c r="I29" s="501">
        <f t="shared" si="1"/>
        <v>0</v>
      </c>
      <c r="J29" s="501"/>
      <c r="K29" s="593">
        <f t="shared" ref="K29" si="14">G29</f>
        <v>1256941.3903317812</v>
      </c>
      <c r="L29" s="597">
        <f t="shared" ref="L29" si="15">IF(K29&lt;&gt;0,+G29-K29,0)</f>
        <v>0</v>
      </c>
      <c r="M29" s="593">
        <f t="shared" ref="M29" si="16">H29</f>
        <v>1256941.3903317812</v>
      </c>
      <c r="N29" s="505">
        <f t="shared" si="5"/>
        <v>0</v>
      </c>
      <c r="O29" s="505">
        <f t="shared" si="6"/>
        <v>0</v>
      </c>
      <c r="P29" s="279"/>
      <c r="R29" s="244"/>
      <c r="S29" s="244"/>
      <c r="T29" s="244"/>
      <c r="U29" s="244"/>
    </row>
    <row r="30" spans="2:21" ht="12.5">
      <c r="B30" s="145" t="str">
        <f t="shared" si="0"/>
        <v/>
      </c>
      <c r="C30" s="496">
        <f>IF(D11="","-",+C29+1)</f>
        <v>2024</v>
      </c>
      <c r="D30" s="509">
        <f>IF(F29+SUM(E$17:E29)=D$10,F29,D$10-SUM(E$17:E29))</f>
        <v>7791942.1983206682</v>
      </c>
      <c r="E30" s="510">
        <f>IF(+I14&lt;F29,I14,D30)</f>
        <v>334491.87878787878</v>
      </c>
      <c r="F30" s="511">
        <f t="shared" ref="F30:F49" si="17">+D30-E30</f>
        <v>7457450.3195327893</v>
      </c>
      <c r="G30" s="512">
        <f t="shared" ref="G30:G73" si="18">(D30+F30)/2*I$12+E30</f>
        <v>1209492.6728044748</v>
      </c>
      <c r="H30" s="478">
        <f t="shared" ref="H30:H73" si="19">+(D30+F30)/2*I$13+E30</f>
        <v>1209492.6728044748</v>
      </c>
      <c r="I30" s="501">
        <f t="shared" si="1"/>
        <v>0</v>
      </c>
      <c r="J30" s="501"/>
      <c r="K30" s="513"/>
      <c r="L30" s="505">
        <f t="shared" si="3"/>
        <v>0</v>
      </c>
      <c r="M30" s="513"/>
      <c r="N30" s="505">
        <f t="shared" si="5"/>
        <v>0</v>
      </c>
      <c r="O30" s="505">
        <f t="shared" si="6"/>
        <v>0</v>
      </c>
      <c r="P30" s="279"/>
      <c r="R30" s="244"/>
      <c r="S30" s="244"/>
      <c r="T30" s="244"/>
      <c r="U30" s="244"/>
    </row>
    <row r="31" spans="2:21" ht="12.5">
      <c r="B31" s="145" t="str">
        <f t="shared" si="0"/>
        <v/>
      </c>
      <c r="C31" s="496">
        <f>IF(D11="","-",+C30+1)</f>
        <v>2025</v>
      </c>
      <c r="D31" s="509">
        <f>IF(F30+SUM(E$17:E30)=D$10,F30,D$10-SUM(E$17:E30))</f>
        <v>7457450.3195327893</v>
      </c>
      <c r="E31" s="598">
        <f>IF(+I14&lt;F30,I14,D31)</f>
        <v>334491.87878787878</v>
      </c>
      <c r="F31" s="511">
        <f>+D31-E31</f>
        <v>7122958.4407449104</v>
      </c>
      <c r="G31" s="512">
        <f t="shared" si="18"/>
        <v>1171106.7949160491</v>
      </c>
      <c r="H31" s="478">
        <f t="shared" si="19"/>
        <v>1171106.7949160491</v>
      </c>
      <c r="I31" s="501">
        <f>H31-G31</f>
        <v>0</v>
      </c>
      <c r="J31" s="501"/>
      <c r="K31" s="513"/>
      <c r="L31" s="505">
        <f>IF(K31&lt;&gt;0,+G31-K31,0)</f>
        <v>0</v>
      </c>
      <c r="M31" s="513"/>
      <c r="N31" s="505">
        <f>IF(M31&lt;&gt;0,+H31-M31,0)</f>
        <v>0</v>
      </c>
      <c r="O31" s="505">
        <f>+N31-L31</f>
        <v>0</v>
      </c>
      <c r="P31" s="279"/>
      <c r="Q31" s="221"/>
      <c r="R31" s="279"/>
      <c r="S31" s="279"/>
      <c r="T31" s="279"/>
      <c r="U31" s="244"/>
    </row>
    <row r="32" spans="2:21" ht="12.5">
      <c r="B32" s="145" t="str">
        <f t="shared" si="0"/>
        <v/>
      </c>
      <c r="C32" s="496">
        <f>IF(D12="","-",+C31+1)</f>
        <v>2026</v>
      </c>
      <c r="D32" s="509">
        <f>IF(F31+SUM(E$17:E31)=D$10,F31,D$10-SUM(E$17:E31))</f>
        <v>7122958.4407449104</v>
      </c>
      <c r="E32" s="598">
        <f>IF(+I14&lt;F31,I14,D32)</f>
        <v>334491.87878787878</v>
      </c>
      <c r="F32" s="511">
        <f>+D32-E32</f>
        <v>6788466.5619570315</v>
      </c>
      <c r="G32" s="512">
        <f t="shared" si="18"/>
        <v>1132720.9170276236</v>
      </c>
      <c r="H32" s="478">
        <f t="shared" si="19"/>
        <v>1132720.9170276236</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2027</v>
      </c>
      <c r="D33" s="509">
        <f>IF(F32+SUM(E$17:E32)=D$10,F32,D$10-SUM(E$17:E32))</f>
        <v>6788466.5619570315</v>
      </c>
      <c r="E33" s="510">
        <f>IF(+I14&lt;F31,I14,D33)</f>
        <v>334491.87878787878</v>
      </c>
      <c r="F33" s="511">
        <f>+D33-E33</f>
        <v>6453974.6831691526</v>
      </c>
      <c r="G33" s="512">
        <f t="shared" si="18"/>
        <v>1094335.0391391979</v>
      </c>
      <c r="H33" s="478">
        <f t="shared" si="19"/>
        <v>1094335.0391391979</v>
      </c>
      <c r="I33" s="501">
        <f>H33-G33</f>
        <v>0</v>
      </c>
      <c r="J33" s="501"/>
      <c r="K33" s="513"/>
      <c r="L33" s="505">
        <f>IF(K33&lt;&gt;0,+G33-K33,0)</f>
        <v>0</v>
      </c>
      <c r="M33" s="513"/>
      <c r="N33" s="505">
        <f>IF(M33&lt;&gt;0,+H33-M33,0)</f>
        <v>0</v>
      </c>
      <c r="O33" s="505">
        <f>+N33-L33</f>
        <v>0</v>
      </c>
      <c r="P33" s="279"/>
      <c r="R33" s="244"/>
      <c r="S33" s="244"/>
      <c r="T33" s="244"/>
      <c r="U33" s="244"/>
    </row>
    <row r="34" spans="2:21" ht="12.5">
      <c r="B34" s="145" t="str">
        <f t="shared" si="0"/>
        <v/>
      </c>
      <c r="C34" s="514">
        <f>IF(D11="","-",+C33+1)</f>
        <v>2028</v>
      </c>
      <c r="D34" s="515">
        <f>IF(F33+SUM(E$17:E33)=D$10,F33,D$10-SUM(E$17:E33))</f>
        <v>6453974.6831691526</v>
      </c>
      <c r="E34" s="516">
        <f>IF(+I14&lt;F33,I14,D34)</f>
        <v>334491.87878787878</v>
      </c>
      <c r="F34" s="517">
        <f t="shared" si="17"/>
        <v>6119482.8043812737</v>
      </c>
      <c r="G34" s="518">
        <f t="shared" si="18"/>
        <v>1055949.1612507724</v>
      </c>
      <c r="H34" s="519">
        <f t="shared" si="19"/>
        <v>1055949.1612507724</v>
      </c>
      <c r="I34" s="520">
        <f t="shared" si="1"/>
        <v>0</v>
      </c>
      <c r="J34" s="520"/>
      <c r="K34" s="521"/>
      <c r="L34" s="522">
        <f t="shared" si="3"/>
        <v>0</v>
      </c>
      <c r="M34" s="521"/>
      <c r="N34" s="522">
        <f t="shared" si="5"/>
        <v>0</v>
      </c>
      <c r="O34" s="522">
        <f t="shared" si="6"/>
        <v>0</v>
      </c>
      <c r="P34" s="523"/>
      <c r="Q34" s="217"/>
      <c r="R34" s="523"/>
      <c r="S34" s="523"/>
      <c r="T34" s="523"/>
      <c r="U34" s="244"/>
    </row>
    <row r="35" spans="2:21" ht="12.5">
      <c r="B35" s="145" t="str">
        <f t="shared" si="0"/>
        <v/>
      </c>
      <c r="C35" s="496">
        <f>IF(D11="","-",+C34+1)</f>
        <v>2029</v>
      </c>
      <c r="D35" s="509">
        <f>IF(F34+SUM(E$17:E34)=D$10,F34,D$10-SUM(E$17:E34))</f>
        <v>6119482.8043812737</v>
      </c>
      <c r="E35" s="510">
        <f>IF(+I14&lt;F34,I14,D35)</f>
        <v>334491.87878787878</v>
      </c>
      <c r="F35" s="511">
        <f t="shared" si="17"/>
        <v>5784990.9255933948</v>
      </c>
      <c r="G35" s="512">
        <f t="shared" si="18"/>
        <v>1017563.2833623467</v>
      </c>
      <c r="H35" s="478">
        <f t="shared" si="19"/>
        <v>1017563.2833623467</v>
      </c>
      <c r="I35" s="501">
        <f t="shared" si="1"/>
        <v>0</v>
      </c>
      <c r="J35" s="501"/>
      <c r="K35" s="513"/>
      <c r="L35" s="505">
        <f t="shared" si="3"/>
        <v>0</v>
      </c>
      <c r="M35" s="513"/>
      <c r="N35" s="505">
        <f t="shared" si="5"/>
        <v>0</v>
      </c>
      <c r="O35" s="505">
        <f t="shared" si="6"/>
        <v>0</v>
      </c>
      <c r="P35" s="279"/>
      <c r="R35" s="244"/>
      <c r="S35" s="244"/>
      <c r="T35" s="244"/>
      <c r="U35" s="244"/>
    </row>
    <row r="36" spans="2:21" ht="12.5">
      <c r="B36" s="145" t="str">
        <f t="shared" si="0"/>
        <v/>
      </c>
      <c r="C36" s="496">
        <f>IF(D11="","-",+C35+1)</f>
        <v>2030</v>
      </c>
      <c r="D36" s="509">
        <f>IF(F35+SUM(E$17:E35)=D$10,F35,D$10-SUM(E$17:E35))</f>
        <v>5784990.9255933948</v>
      </c>
      <c r="E36" s="510">
        <f>IF(+I14&lt;F35,I14,D36)</f>
        <v>334491.87878787878</v>
      </c>
      <c r="F36" s="511">
        <f t="shared" si="17"/>
        <v>5450499.0468055159</v>
      </c>
      <c r="G36" s="512">
        <f t="shared" si="18"/>
        <v>979177.4054739211</v>
      </c>
      <c r="H36" s="478">
        <f t="shared" si="19"/>
        <v>979177.4054739211</v>
      </c>
      <c r="I36" s="501">
        <f t="shared" si="1"/>
        <v>0</v>
      </c>
      <c r="J36" s="501"/>
      <c r="K36" s="513"/>
      <c r="L36" s="505">
        <f t="shared" si="3"/>
        <v>0</v>
      </c>
      <c r="M36" s="513"/>
      <c r="N36" s="505">
        <f t="shared" si="5"/>
        <v>0</v>
      </c>
      <c r="O36" s="505">
        <f t="shared" si="6"/>
        <v>0</v>
      </c>
      <c r="P36" s="279"/>
      <c r="R36" s="244"/>
      <c r="S36" s="244"/>
      <c r="T36" s="244"/>
      <c r="U36" s="244"/>
    </row>
    <row r="37" spans="2:21" ht="12.5">
      <c r="B37" s="145" t="str">
        <f t="shared" si="0"/>
        <v/>
      </c>
      <c r="C37" s="496">
        <f>IF(D11="","-",+C36+1)</f>
        <v>2031</v>
      </c>
      <c r="D37" s="509">
        <f>IF(F36+SUM(E$17:E36)=D$10,F36,D$10-SUM(E$17:E36))</f>
        <v>5450499.0468055159</v>
      </c>
      <c r="E37" s="510">
        <f>IF(+I14&lt;F36,I14,D37)</f>
        <v>334491.87878787878</v>
      </c>
      <c r="F37" s="511">
        <f t="shared" si="17"/>
        <v>5116007.168017637</v>
      </c>
      <c r="G37" s="512">
        <f t="shared" si="18"/>
        <v>940791.5275854955</v>
      </c>
      <c r="H37" s="478">
        <f t="shared" si="19"/>
        <v>940791.5275854955</v>
      </c>
      <c r="I37" s="501">
        <f t="shared" si="1"/>
        <v>0</v>
      </c>
      <c r="J37" s="501"/>
      <c r="K37" s="513"/>
      <c r="L37" s="505">
        <f t="shared" si="3"/>
        <v>0</v>
      </c>
      <c r="M37" s="513"/>
      <c r="N37" s="505">
        <f t="shared" si="5"/>
        <v>0</v>
      </c>
      <c r="O37" s="505">
        <f t="shared" si="6"/>
        <v>0</v>
      </c>
      <c r="P37" s="279"/>
      <c r="R37" s="244"/>
      <c r="S37" s="244"/>
      <c r="T37" s="244"/>
      <c r="U37" s="244"/>
    </row>
    <row r="38" spans="2:21" ht="12.5">
      <c r="B38" s="145" t="str">
        <f t="shared" si="0"/>
        <v/>
      </c>
      <c r="C38" s="496">
        <f>IF(D11="","-",+C37+1)</f>
        <v>2032</v>
      </c>
      <c r="D38" s="509">
        <f>IF(F37+SUM(E$17:E37)=D$10,F37,D$10-SUM(E$17:E37))</f>
        <v>5116007.168017637</v>
      </c>
      <c r="E38" s="510">
        <f>IF(+I14&lt;F37,I14,D38)</f>
        <v>334491.87878787878</v>
      </c>
      <c r="F38" s="511">
        <f t="shared" si="17"/>
        <v>4781515.2892297581</v>
      </c>
      <c r="G38" s="512">
        <f t="shared" si="18"/>
        <v>902405.64969706989</v>
      </c>
      <c r="H38" s="478">
        <f t="shared" si="19"/>
        <v>902405.64969706989</v>
      </c>
      <c r="I38" s="501">
        <f t="shared" si="1"/>
        <v>0</v>
      </c>
      <c r="J38" s="501"/>
      <c r="K38" s="513"/>
      <c r="L38" s="505">
        <f t="shared" si="3"/>
        <v>0</v>
      </c>
      <c r="M38" s="513"/>
      <c r="N38" s="505">
        <f t="shared" si="5"/>
        <v>0</v>
      </c>
      <c r="O38" s="505">
        <f t="shared" si="6"/>
        <v>0</v>
      </c>
      <c r="P38" s="279"/>
      <c r="R38" s="244"/>
      <c r="S38" s="244"/>
      <c r="T38" s="244"/>
      <c r="U38" s="244"/>
    </row>
    <row r="39" spans="2:21" ht="12.5">
      <c r="B39" s="145" t="str">
        <f t="shared" si="0"/>
        <v/>
      </c>
      <c r="C39" s="496">
        <f>IF(D11="","-",+C38+1)</f>
        <v>2033</v>
      </c>
      <c r="D39" s="509">
        <f>IF(F38+SUM(E$17:E38)=D$10,F38,D$10-SUM(E$17:E38))</f>
        <v>4781515.2892297581</v>
      </c>
      <c r="E39" s="510">
        <f>IF(+I14&lt;F38,I14,D39)</f>
        <v>334491.87878787878</v>
      </c>
      <c r="F39" s="511">
        <f t="shared" si="17"/>
        <v>4447023.4104418792</v>
      </c>
      <c r="G39" s="512">
        <f t="shared" si="18"/>
        <v>864019.77180864429</v>
      </c>
      <c r="H39" s="478">
        <f t="shared" si="19"/>
        <v>864019.77180864429</v>
      </c>
      <c r="I39" s="501">
        <f t="shared" si="1"/>
        <v>0</v>
      </c>
      <c r="J39" s="501"/>
      <c r="K39" s="513"/>
      <c r="L39" s="505">
        <f t="shared" si="3"/>
        <v>0</v>
      </c>
      <c r="M39" s="513"/>
      <c r="N39" s="505">
        <f t="shared" si="5"/>
        <v>0</v>
      </c>
      <c r="O39" s="505">
        <f t="shared" si="6"/>
        <v>0</v>
      </c>
      <c r="P39" s="279"/>
      <c r="R39" s="244"/>
      <c r="S39" s="244"/>
      <c r="T39" s="244"/>
      <c r="U39" s="244"/>
    </row>
    <row r="40" spans="2:21" ht="12.5">
      <c r="B40" s="145" t="str">
        <f t="shared" si="0"/>
        <v/>
      </c>
      <c r="C40" s="496">
        <f>IF(D11="","-",+C39+1)</f>
        <v>2034</v>
      </c>
      <c r="D40" s="509">
        <f>IF(F39+SUM(E$17:E39)=D$10,F39,D$10-SUM(E$17:E39))</f>
        <v>4447023.4104418792</v>
      </c>
      <c r="E40" s="510">
        <f>IF(+I14&lt;F39,I14,D40)</f>
        <v>334491.87878787878</v>
      </c>
      <c r="F40" s="511">
        <f t="shared" si="17"/>
        <v>4112531.5316540003</v>
      </c>
      <c r="G40" s="512">
        <f t="shared" si="18"/>
        <v>825633.89392021857</v>
      </c>
      <c r="H40" s="478">
        <f t="shared" si="19"/>
        <v>825633.89392021857</v>
      </c>
      <c r="I40" s="501">
        <f t="shared" si="1"/>
        <v>0</v>
      </c>
      <c r="J40" s="501"/>
      <c r="K40" s="513"/>
      <c r="L40" s="505">
        <f t="shared" si="3"/>
        <v>0</v>
      </c>
      <c r="M40" s="513"/>
      <c r="N40" s="505">
        <f t="shared" si="5"/>
        <v>0</v>
      </c>
      <c r="O40" s="505">
        <f t="shared" si="6"/>
        <v>0</v>
      </c>
      <c r="P40" s="279"/>
      <c r="R40" s="244"/>
      <c r="S40" s="244"/>
      <c r="T40" s="244"/>
      <c r="U40" s="244"/>
    </row>
    <row r="41" spans="2:21" ht="12.5">
      <c r="B41" s="145" t="str">
        <f t="shared" si="0"/>
        <v/>
      </c>
      <c r="C41" s="496">
        <f>IF(D12="","-",+C40+1)</f>
        <v>2035</v>
      </c>
      <c r="D41" s="509">
        <f>IF(F40+SUM(E$17:E40)=D$10,F40,D$10-SUM(E$17:E40))</f>
        <v>4112531.5316540003</v>
      </c>
      <c r="E41" s="510">
        <f>IF(+I14&lt;F40,I14,D41)</f>
        <v>334491.87878787878</v>
      </c>
      <c r="F41" s="511">
        <f t="shared" si="17"/>
        <v>3778039.6528661214</v>
      </c>
      <c r="G41" s="512">
        <f t="shared" si="18"/>
        <v>787248.01603179309</v>
      </c>
      <c r="H41" s="478">
        <f t="shared" si="19"/>
        <v>787248.01603179309</v>
      </c>
      <c r="I41" s="501">
        <f t="shared" si="1"/>
        <v>0</v>
      </c>
      <c r="J41" s="501"/>
      <c r="K41" s="513"/>
      <c r="L41" s="505">
        <f t="shared" si="3"/>
        <v>0</v>
      </c>
      <c r="M41" s="513"/>
      <c r="N41" s="505">
        <f t="shared" si="5"/>
        <v>0</v>
      </c>
      <c r="O41" s="505">
        <f t="shared" si="6"/>
        <v>0</v>
      </c>
      <c r="P41" s="279"/>
      <c r="R41" s="244"/>
      <c r="S41" s="244"/>
      <c r="T41" s="244"/>
      <c r="U41" s="244"/>
    </row>
    <row r="42" spans="2:21" ht="12.5">
      <c r="B42" s="145" t="str">
        <f t="shared" si="0"/>
        <v/>
      </c>
      <c r="C42" s="496">
        <f>IF(D13="","-",+C41+1)</f>
        <v>2036</v>
      </c>
      <c r="D42" s="509">
        <f>IF(F41+SUM(E$17:E41)=D$10,F41,D$10-SUM(E$17:E41))</f>
        <v>3778039.6528661214</v>
      </c>
      <c r="E42" s="510">
        <f>IF(+I14&lt;F41,I14,D42)</f>
        <v>334491.87878787878</v>
      </c>
      <c r="F42" s="511">
        <f t="shared" si="17"/>
        <v>3443547.7740782425</v>
      </c>
      <c r="G42" s="512">
        <f t="shared" si="18"/>
        <v>748862.13814336737</v>
      </c>
      <c r="H42" s="478">
        <f t="shared" si="19"/>
        <v>748862.13814336737</v>
      </c>
      <c r="I42" s="501">
        <f t="shared" si="1"/>
        <v>0</v>
      </c>
      <c r="J42" s="501"/>
      <c r="K42" s="513"/>
      <c r="L42" s="505">
        <f t="shared" si="3"/>
        <v>0</v>
      </c>
      <c r="M42" s="513"/>
      <c r="N42" s="505">
        <f t="shared" si="5"/>
        <v>0</v>
      </c>
      <c r="O42" s="505">
        <f t="shared" si="6"/>
        <v>0</v>
      </c>
      <c r="P42" s="279"/>
      <c r="R42" s="244"/>
      <c r="S42" s="244"/>
      <c r="T42" s="244"/>
      <c r="U42" s="244"/>
    </row>
    <row r="43" spans="2:21" ht="12.5">
      <c r="B43" s="145" t="str">
        <f t="shared" si="0"/>
        <v/>
      </c>
      <c r="C43" s="496">
        <f>IF(D14="","-",+C42+1)</f>
        <v>2037</v>
      </c>
      <c r="D43" s="509">
        <f>IF(F42+SUM(E$17:E42)=D$10,F42,D$10-SUM(E$17:E42))</f>
        <v>3443547.7740782425</v>
      </c>
      <c r="E43" s="510">
        <f>IF(+I14&lt;F42,I14,D43)</f>
        <v>334491.87878787878</v>
      </c>
      <c r="F43" s="511">
        <f t="shared" si="17"/>
        <v>3109055.8952903636</v>
      </c>
      <c r="G43" s="512">
        <f t="shared" si="18"/>
        <v>710476.26025494188</v>
      </c>
      <c r="H43" s="478">
        <f t="shared" si="19"/>
        <v>710476.26025494188</v>
      </c>
      <c r="I43" s="501">
        <f t="shared" si="1"/>
        <v>0</v>
      </c>
      <c r="J43" s="501"/>
      <c r="K43" s="513"/>
      <c r="L43" s="505">
        <f t="shared" si="3"/>
        <v>0</v>
      </c>
      <c r="M43" s="513"/>
      <c r="N43" s="505">
        <f t="shared" si="5"/>
        <v>0</v>
      </c>
      <c r="O43" s="505">
        <f t="shared" si="6"/>
        <v>0</v>
      </c>
      <c r="P43" s="279"/>
      <c r="R43" s="244"/>
      <c r="S43" s="244"/>
      <c r="T43" s="244"/>
      <c r="U43" s="244"/>
    </row>
    <row r="44" spans="2:21" ht="12.5">
      <c r="B44" s="145" t="str">
        <f t="shared" si="0"/>
        <v/>
      </c>
      <c r="C44" s="496">
        <f>IF(D11="","-",+C43+1)</f>
        <v>2038</v>
      </c>
      <c r="D44" s="509">
        <f>IF(F43+SUM(E$17:E43)=D$10,F43,D$10-SUM(E$17:E43))</f>
        <v>3109055.8952903636</v>
      </c>
      <c r="E44" s="510">
        <f>IF(+I14&lt;F43,I14,D44)</f>
        <v>334491.87878787878</v>
      </c>
      <c r="F44" s="511">
        <f t="shared" si="17"/>
        <v>2774564.0165024847</v>
      </c>
      <c r="G44" s="512">
        <f t="shared" si="18"/>
        <v>672090.38236651616</v>
      </c>
      <c r="H44" s="478">
        <f t="shared" si="19"/>
        <v>672090.38236651616</v>
      </c>
      <c r="I44" s="501">
        <f t="shared" si="1"/>
        <v>0</v>
      </c>
      <c r="J44" s="501"/>
      <c r="K44" s="513"/>
      <c r="L44" s="505">
        <f t="shared" si="3"/>
        <v>0</v>
      </c>
      <c r="M44" s="513"/>
      <c r="N44" s="505">
        <f t="shared" si="5"/>
        <v>0</v>
      </c>
      <c r="O44" s="505">
        <f t="shared" si="6"/>
        <v>0</v>
      </c>
      <c r="P44" s="279"/>
      <c r="R44" s="244"/>
      <c r="S44" s="244"/>
      <c r="T44" s="244"/>
      <c r="U44" s="244"/>
    </row>
    <row r="45" spans="2:21" ht="12.5">
      <c r="B45" s="145" t="str">
        <f t="shared" si="0"/>
        <v/>
      </c>
      <c r="C45" s="496">
        <f>IF(D11="","-",+C44+1)</f>
        <v>2039</v>
      </c>
      <c r="D45" s="509">
        <f>IF(F44+SUM(E$17:E44)=D$10,F44,D$10-SUM(E$17:E44))</f>
        <v>2774564.0165024847</v>
      </c>
      <c r="E45" s="510">
        <f>IF(+I14&lt;F44,I14,D45)</f>
        <v>334491.87878787878</v>
      </c>
      <c r="F45" s="511">
        <f t="shared" si="17"/>
        <v>2440072.1377146058</v>
      </c>
      <c r="G45" s="512">
        <f t="shared" si="18"/>
        <v>633704.50447809056</v>
      </c>
      <c r="H45" s="478">
        <f t="shared" si="19"/>
        <v>633704.50447809056</v>
      </c>
      <c r="I45" s="501">
        <f t="shared" si="1"/>
        <v>0</v>
      </c>
      <c r="J45" s="501"/>
      <c r="K45" s="513"/>
      <c r="L45" s="505">
        <f t="shared" si="3"/>
        <v>0</v>
      </c>
      <c r="M45" s="513"/>
      <c r="N45" s="505">
        <f t="shared" si="5"/>
        <v>0</v>
      </c>
      <c r="O45" s="505">
        <f t="shared" si="6"/>
        <v>0</v>
      </c>
      <c r="P45" s="279"/>
      <c r="R45" s="244"/>
      <c r="S45" s="244"/>
      <c r="T45" s="244"/>
      <c r="U45" s="244"/>
    </row>
    <row r="46" spans="2:21" ht="12.5">
      <c r="B46" s="145" t="str">
        <f t="shared" si="0"/>
        <v/>
      </c>
      <c r="C46" s="496">
        <f>IF(D11="","-",+C45+1)</f>
        <v>2040</v>
      </c>
      <c r="D46" s="509">
        <f>IF(F45+SUM(E$17:E45)=D$10,F45,D$10-SUM(E$17:E45))</f>
        <v>2440072.1377146058</v>
      </c>
      <c r="E46" s="510">
        <f>IF(+I14&lt;F45,I14,D46)</f>
        <v>334491.87878787878</v>
      </c>
      <c r="F46" s="511">
        <f t="shared" si="17"/>
        <v>2105580.2589267269</v>
      </c>
      <c r="G46" s="512">
        <f t="shared" si="18"/>
        <v>595318.62658966496</v>
      </c>
      <c r="H46" s="478">
        <f t="shared" si="19"/>
        <v>595318.62658966496</v>
      </c>
      <c r="I46" s="501">
        <f t="shared" si="1"/>
        <v>0</v>
      </c>
      <c r="J46" s="501"/>
      <c r="K46" s="513"/>
      <c r="L46" s="505">
        <f t="shared" si="3"/>
        <v>0</v>
      </c>
      <c r="M46" s="513"/>
      <c r="N46" s="505">
        <f t="shared" si="5"/>
        <v>0</v>
      </c>
      <c r="O46" s="505">
        <f t="shared" si="6"/>
        <v>0</v>
      </c>
      <c r="P46" s="279"/>
      <c r="R46" s="244"/>
      <c r="S46" s="244"/>
      <c r="T46" s="244"/>
      <c r="U46" s="244"/>
    </row>
    <row r="47" spans="2:21" ht="12.5">
      <c r="B47" s="145" t="str">
        <f t="shared" si="0"/>
        <v/>
      </c>
      <c r="C47" s="496">
        <f>IF(D11="","-",+C46+1)</f>
        <v>2041</v>
      </c>
      <c r="D47" s="509">
        <f>IF(F46+SUM(E$17:E46)=D$10,F46,D$10-SUM(E$17:E46))</f>
        <v>2105580.2589267269</v>
      </c>
      <c r="E47" s="510">
        <f>IF(+I14&lt;F46,I14,D47)</f>
        <v>334491.87878787878</v>
      </c>
      <c r="F47" s="511">
        <f t="shared" si="17"/>
        <v>1771088.380138848</v>
      </c>
      <c r="G47" s="512">
        <f t="shared" si="18"/>
        <v>556932.74870123935</v>
      </c>
      <c r="H47" s="478">
        <f t="shared" si="19"/>
        <v>556932.74870123935</v>
      </c>
      <c r="I47" s="501">
        <f t="shared" si="1"/>
        <v>0</v>
      </c>
      <c r="J47" s="501"/>
      <c r="K47" s="513"/>
      <c r="L47" s="505">
        <f t="shared" si="3"/>
        <v>0</v>
      </c>
      <c r="M47" s="513"/>
      <c r="N47" s="505">
        <f t="shared" si="5"/>
        <v>0</v>
      </c>
      <c r="O47" s="505">
        <f t="shared" si="6"/>
        <v>0</v>
      </c>
      <c r="P47" s="279"/>
      <c r="R47" s="244"/>
      <c r="S47" s="244"/>
      <c r="T47" s="244"/>
      <c r="U47" s="244"/>
    </row>
    <row r="48" spans="2:21" ht="12.5">
      <c r="B48" s="145" t="str">
        <f t="shared" si="0"/>
        <v/>
      </c>
      <c r="C48" s="496">
        <f>IF(D11="","-",+C47+1)</f>
        <v>2042</v>
      </c>
      <c r="D48" s="509">
        <f>IF(F47+SUM(E$17:E47)=D$10,F47,D$10-SUM(E$17:E47))</f>
        <v>1771088.380138848</v>
      </c>
      <c r="E48" s="510">
        <f>IF(+I14&lt;F47,I14,D48)</f>
        <v>334491.87878787878</v>
      </c>
      <c r="F48" s="511">
        <f t="shared" si="17"/>
        <v>1436596.5013509691</v>
      </c>
      <c r="G48" s="512">
        <f t="shared" si="18"/>
        <v>518546.87081281375</v>
      </c>
      <c r="H48" s="478">
        <f t="shared" si="19"/>
        <v>518546.87081281375</v>
      </c>
      <c r="I48" s="501">
        <f t="shared" si="1"/>
        <v>0</v>
      </c>
      <c r="J48" s="501"/>
      <c r="K48" s="513"/>
      <c r="L48" s="505">
        <f t="shared" si="3"/>
        <v>0</v>
      </c>
      <c r="M48" s="513"/>
      <c r="N48" s="505">
        <f t="shared" si="5"/>
        <v>0</v>
      </c>
      <c r="O48" s="505">
        <f t="shared" si="6"/>
        <v>0</v>
      </c>
      <c r="P48" s="279"/>
      <c r="R48" s="244"/>
      <c r="S48" s="244"/>
      <c r="T48" s="244"/>
      <c r="U48" s="244"/>
    </row>
    <row r="49" spans="2:21" ht="12.5">
      <c r="B49" s="145" t="str">
        <f t="shared" si="0"/>
        <v/>
      </c>
      <c r="C49" s="496">
        <f>IF(D11="","-",+C48+1)</f>
        <v>2043</v>
      </c>
      <c r="D49" s="509">
        <f>IF(F48+SUM(E$17:E48)=D$10,F48,D$10-SUM(E$17:E48))</f>
        <v>1436596.5013509691</v>
      </c>
      <c r="E49" s="510">
        <f>IF(+I14&lt;F48,I14,D49)</f>
        <v>334491.87878787878</v>
      </c>
      <c r="F49" s="511">
        <f t="shared" si="17"/>
        <v>1102104.6225630902</v>
      </c>
      <c r="G49" s="512">
        <f t="shared" si="18"/>
        <v>480160.99292438815</v>
      </c>
      <c r="H49" s="478">
        <f t="shared" si="19"/>
        <v>480160.99292438815</v>
      </c>
      <c r="I49" s="501">
        <f t="shared" si="1"/>
        <v>0</v>
      </c>
      <c r="J49" s="501"/>
      <c r="K49" s="513"/>
      <c r="L49" s="505">
        <f t="shared" si="3"/>
        <v>0</v>
      </c>
      <c r="M49" s="513"/>
      <c r="N49" s="505">
        <f t="shared" si="5"/>
        <v>0</v>
      </c>
      <c r="O49" s="505">
        <f t="shared" si="6"/>
        <v>0</v>
      </c>
      <c r="P49" s="279"/>
      <c r="R49" s="244"/>
      <c r="S49" s="244"/>
      <c r="T49" s="244"/>
      <c r="U49" s="244"/>
    </row>
    <row r="50" spans="2:21" ht="12.5">
      <c r="B50" s="145" t="str">
        <f t="shared" ref="B50:B73" si="20">IF(D50=F49,"","IU")</f>
        <v/>
      </c>
      <c r="C50" s="496">
        <f>IF(D11="","-",+C49+1)</f>
        <v>2044</v>
      </c>
      <c r="D50" s="509">
        <f>IF(F49+SUM(E$17:E49)=D$10,F49,D$10-SUM(E$17:E49))</f>
        <v>1102104.6225630902</v>
      </c>
      <c r="E50" s="510">
        <f>IF(+I14&lt;F49,I14,D50)</f>
        <v>334491.87878787878</v>
      </c>
      <c r="F50" s="511">
        <f t="shared" ref="F50:F73" si="21">+D50-E50</f>
        <v>767612.74377521139</v>
      </c>
      <c r="G50" s="512">
        <f t="shared" si="18"/>
        <v>441775.11503596249</v>
      </c>
      <c r="H50" s="478">
        <f t="shared" si="19"/>
        <v>441775.11503596249</v>
      </c>
      <c r="I50" s="501">
        <f t="shared" ref="I50:I73" si="22">H50-G50</f>
        <v>0</v>
      </c>
      <c r="J50" s="501"/>
      <c r="K50" s="513"/>
      <c r="L50" s="505">
        <f t="shared" ref="L50:L73" si="23">IF(K50&lt;&gt;0,+G50-K50,0)</f>
        <v>0</v>
      </c>
      <c r="M50" s="513"/>
      <c r="N50" s="505">
        <f t="shared" ref="N50:N73" si="24">IF(M50&lt;&gt;0,+H50-M50,0)</f>
        <v>0</v>
      </c>
      <c r="O50" s="505">
        <f t="shared" ref="O50:O73" si="25">+N50-L50</f>
        <v>0</v>
      </c>
      <c r="P50" s="279"/>
      <c r="R50" s="244"/>
      <c r="S50" s="244"/>
      <c r="T50" s="244"/>
      <c r="U50" s="244"/>
    </row>
    <row r="51" spans="2:21" ht="12.5">
      <c r="B51" s="145" t="str">
        <f t="shared" si="20"/>
        <v/>
      </c>
      <c r="C51" s="496">
        <f>IF(D11="","-",+C50+1)</f>
        <v>2045</v>
      </c>
      <c r="D51" s="509">
        <f>IF(F50+SUM(E$17:E50)=D$10,F50,D$10-SUM(E$17:E50))</f>
        <v>767612.74377521139</v>
      </c>
      <c r="E51" s="510">
        <f>IF(+I14&lt;F50,I14,D51)</f>
        <v>334491.87878787878</v>
      </c>
      <c r="F51" s="511">
        <f t="shared" si="21"/>
        <v>433120.86498733261</v>
      </c>
      <c r="G51" s="512">
        <f t="shared" si="18"/>
        <v>403389.23714753689</v>
      </c>
      <c r="H51" s="478">
        <f t="shared" si="19"/>
        <v>403389.23714753689</v>
      </c>
      <c r="I51" s="501">
        <f t="shared" si="22"/>
        <v>0</v>
      </c>
      <c r="J51" s="501"/>
      <c r="K51" s="513"/>
      <c r="L51" s="505">
        <f t="shared" si="23"/>
        <v>0</v>
      </c>
      <c r="M51" s="513"/>
      <c r="N51" s="505">
        <f t="shared" si="24"/>
        <v>0</v>
      </c>
      <c r="O51" s="505">
        <f t="shared" si="25"/>
        <v>0</v>
      </c>
      <c r="P51" s="279"/>
      <c r="R51" s="244"/>
      <c r="S51" s="244"/>
      <c r="T51" s="244"/>
      <c r="U51" s="244"/>
    </row>
    <row r="52" spans="2:21" ht="12.5">
      <c r="B52" s="145" t="str">
        <f t="shared" si="20"/>
        <v/>
      </c>
      <c r="C52" s="496">
        <f>IF(D11="","-",+C51+1)</f>
        <v>2046</v>
      </c>
      <c r="D52" s="509">
        <f>IF(F51+SUM(E$17:E51)=D$10,F51,D$10-SUM(E$17:E51))</f>
        <v>433120.86498733261</v>
      </c>
      <c r="E52" s="510">
        <f>IF(+I14&lt;F51,I14,D52)</f>
        <v>334491.87878787878</v>
      </c>
      <c r="F52" s="511">
        <f t="shared" si="21"/>
        <v>98628.986199453822</v>
      </c>
      <c r="G52" s="512">
        <f t="shared" si="18"/>
        <v>365003.35925911128</v>
      </c>
      <c r="H52" s="478">
        <f t="shared" si="19"/>
        <v>365003.35925911128</v>
      </c>
      <c r="I52" s="501">
        <f t="shared" si="22"/>
        <v>0</v>
      </c>
      <c r="J52" s="501"/>
      <c r="K52" s="513"/>
      <c r="L52" s="505">
        <f t="shared" si="23"/>
        <v>0</v>
      </c>
      <c r="M52" s="513"/>
      <c r="N52" s="505">
        <f t="shared" si="24"/>
        <v>0</v>
      </c>
      <c r="O52" s="505">
        <f t="shared" si="25"/>
        <v>0</v>
      </c>
      <c r="P52" s="279"/>
      <c r="R52" s="244"/>
      <c r="S52" s="244"/>
      <c r="T52" s="244"/>
      <c r="U52" s="244"/>
    </row>
    <row r="53" spans="2:21" ht="12.5">
      <c r="B53" s="145" t="str">
        <f t="shared" si="20"/>
        <v/>
      </c>
      <c r="C53" s="496">
        <f>IF(D11="","-",+C52+1)</f>
        <v>2047</v>
      </c>
      <c r="D53" s="509">
        <f>IF(F52+SUM(E$17:E52)=D$10,F52,D$10-SUM(E$17:E52))</f>
        <v>98628.986199453822</v>
      </c>
      <c r="E53" s="510">
        <f>IF(+I14&lt;F52,I14,D53)</f>
        <v>98628.986199453822</v>
      </c>
      <c r="F53" s="511">
        <f t="shared" si="21"/>
        <v>0</v>
      </c>
      <c r="G53" s="512">
        <f t="shared" si="18"/>
        <v>104288.25696296367</v>
      </c>
      <c r="H53" s="478">
        <f t="shared" si="19"/>
        <v>104288.25696296367</v>
      </c>
      <c r="I53" s="501">
        <f t="shared" si="22"/>
        <v>0</v>
      </c>
      <c r="J53" s="501"/>
      <c r="K53" s="513"/>
      <c r="L53" s="505">
        <f t="shared" si="23"/>
        <v>0</v>
      </c>
      <c r="M53" s="513"/>
      <c r="N53" s="505">
        <f t="shared" si="24"/>
        <v>0</v>
      </c>
      <c r="O53" s="505">
        <f t="shared" si="25"/>
        <v>0</v>
      </c>
      <c r="P53" s="279"/>
      <c r="R53" s="244"/>
      <c r="S53" s="244"/>
      <c r="T53" s="244"/>
      <c r="U53" s="244"/>
    </row>
    <row r="54" spans="2:21" ht="12.5">
      <c r="B54" s="145" t="str">
        <f t="shared" si="20"/>
        <v/>
      </c>
      <c r="C54" s="496">
        <f>IF(D11="","-",+C53+1)</f>
        <v>2048</v>
      </c>
      <c r="D54" s="509">
        <f>IF(F53+SUM(E$17:E53)=D$10,F53,D$10-SUM(E$17:E53))</f>
        <v>0</v>
      </c>
      <c r="E54" s="510">
        <f>IF(+I14&lt;F53,I14,D54)</f>
        <v>0</v>
      </c>
      <c r="F54" s="511">
        <f t="shared" si="21"/>
        <v>0</v>
      </c>
      <c r="G54" s="512">
        <f t="shared" si="18"/>
        <v>0</v>
      </c>
      <c r="H54" s="478">
        <f t="shared" si="19"/>
        <v>0</v>
      </c>
      <c r="I54" s="501">
        <f t="shared" si="22"/>
        <v>0</v>
      </c>
      <c r="J54" s="501"/>
      <c r="K54" s="513"/>
      <c r="L54" s="505">
        <f t="shared" si="23"/>
        <v>0</v>
      </c>
      <c r="M54" s="513"/>
      <c r="N54" s="505">
        <f t="shared" si="24"/>
        <v>0</v>
      </c>
      <c r="O54" s="505">
        <f t="shared" si="25"/>
        <v>0</v>
      </c>
      <c r="P54" s="279"/>
      <c r="R54" s="244"/>
      <c r="S54" s="244"/>
      <c r="T54" s="244"/>
      <c r="U54" s="244"/>
    </row>
    <row r="55" spans="2:21" ht="12.5">
      <c r="B55" s="145" t="str">
        <f t="shared" si="20"/>
        <v/>
      </c>
      <c r="C55" s="496">
        <f>IF(D11="","-",+C54+1)</f>
        <v>2049</v>
      </c>
      <c r="D55" s="509">
        <f>IF(F54+SUM(E$17:E54)=D$10,F54,D$10-SUM(E$17:E54))</f>
        <v>0</v>
      </c>
      <c r="E55" s="510">
        <f>IF(+I14&lt;F54,I14,D55)</f>
        <v>0</v>
      </c>
      <c r="F55" s="511">
        <f t="shared" si="21"/>
        <v>0</v>
      </c>
      <c r="G55" s="512">
        <f t="shared" si="18"/>
        <v>0</v>
      </c>
      <c r="H55" s="478">
        <f t="shared" si="19"/>
        <v>0</v>
      </c>
      <c r="I55" s="501">
        <f t="shared" si="22"/>
        <v>0</v>
      </c>
      <c r="J55" s="501"/>
      <c r="K55" s="513"/>
      <c r="L55" s="505">
        <f t="shared" si="23"/>
        <v>0</v>
      </c>
      <c r="M55" s="513"/>
      <c r="N55" s="505">
        <f t="shared" si="24"/>
        <v>0</v>
      </c>
      <c r="O55" s="505">
        <f t="shared" si="25"/>
        <v>0</v>
      </c>
      <c r="P55" s="279"/>
      <c r="R55" s="244"/>
      <c r="S55" s="244"/>
      <c r="T55" s="244"/>
      <c r="U55" s="244"/>
    </row>
    <row r="56" spans="2:21" ht="12.5">
      <c r="B56" s="145" t="str">
        <f t="shared" si="20"/>
        <v/>
      </c>
      <c r="C56" s="496">
        <f>IF(D11="","-",+C55+1)</f>
        <v>2050</v>
      </c>
      <c r="D56" s="509">
        <f>IF(F55+SUM(E$17:E55)=D$10,F55,D$10-SUM(E$17:E55))</f>
        <v>0</v>
      </c>
      <c r="E56" s="510">
        <f>IF(+I14&lt;F55,I14,D56)</f>
        <v>0</v>
      </c>
      <c r="F56" s="511">
        <f t="shared" si="21"/>
        <v>0</v>
      </c>
      <c r="G56" s="512">
        <f t="shared" si="18"/>
        <v>0</v>
      </c>
      <c r="H56" s="478">
        <f t="shared" si="19"/>
        <v>0</v>
      </c>
      <c r="I56" s="501">
        <f t="shared" si="22"/>
        <v>0</v>
      </c>
      <c r="J56" s="501"/>
      <c r="K56" s="513"/>
      <c r="L56" s="505">
        <f t="shared" si="23"/>
        <v>0</v>
      </c>
      <c r="M56" s="513"/>
      <c r="N56" s="505">
        <f t="shared" si="24"/>
        <v>0</v>
      </c>
      <c r="O56" s="505">
        <f t="shared" si="25"/>
        <v>0</v>
      </c>
      <c r="P56" s="279"/>
      <c r="R56" s="244"/>
      <c r="S56" s="244"/>
      <c r="T56" s="244"/>
      <c r="U56" s="244"/>
    </row>
    <row r="57" spans="2:21" ht="12.5">
      <c r="B57" s="145" t="str">
        <f t="shared" si="20"/>
        <v/>
      </c>
      <c r="C57" s="496">
        <f>IF(D11="","-",+C56+1)</f>
        <v>2051</v>
      </c>
      <c r="D57" s="509">
        <f>IF(F56+SUM(E$17:E56)=D$10,F56,D$10-SUM(E$17:E56))</f>
        <v>0</v>
      </c>
      <c r="E57" s="510">
        <f>IF(+I14&lt;F56,I14,D57)</f>
        <v>0</v>
      </c>
      <c r="F57" s="511">
        <f t="shared" si="21"/>
        <v>0</v>
      </c>
      <c r="G57" s="512">
        <f t="shared" si="18"/>
        <v>0</v>
      </c>
      <c r="H57" s="478">
        <f t="shared" si="19"/>
        <v>0</v>
      </c>
      <c r="I57" s="501">
        <f t="shared" si="22"/>
        <v>0</v>
      </c>
      <c r="J57" s="501"/>
      <c r="K57" s="513"/>
      <c r="L57" s="505">
        <f t="shared" si="23"/>
        <v>0</v>
      </c>
      <c r="M57" s="513"/>
      <c r="N57" s="505">
        <f t="shared" si="24"/>
        <v>0</v>
      </c>
      <c r="O57" s="505">
        <f t="shared" si="25"/>
        <v>0</v>
      </c>
      <c r="P57" s="279"/>
      <c r="R57" s="244"/>
      <c r="S57" s="244"/>
      <c r="T57" s="244"/>
      <c r="U57" s="244"/>
    </row>
    <row r="58" spans="2:21" ht="12.5">
      <c r="B58" s="145" t="str">
        <f t="shared" si="20"/>
        <v/>
      </c>
      <c r="C58" s="496">
        <f>IF(D11="","-",+C57+1)</f>
        <v>2052</v>
      </c>
      <c r="D58" s="509">
        <f>IF(F57+SUM(E$17:E57)=D$10,F57,D$10-SUM(E$17:E57))</f>
        <v>0</v>
      </c>
      <c r="E58" s="510">
        <f>IF(+I14&lt;F57,I14,D58)</f>
        <v>0</v>
      </c>
      <c r="F58" s="511">
        <f t="shared" si="21"/>
        <v>0</v>
      </c>
      <c r="G58" s="512">
        <f t="shared" si="18"/>
        <v>0</v>
      </c>
      <c r="H58" s="478">
        <f t="shared" si="19"/>
        <v>0</v>
      </c>
      <c r="I58" s="501">
        <f t="shared" si="22"/>
        <v>0</v>
      </c>
      <c r="J58" s="501"/>
      <c r="K58" s="513"/>
      <c r="L58" s="505">
        <f t="shared" si="23"/>
        <v>0</v>
      </c>
      <c r="M58" s="513"/>
      <c r="N58" s="505">
        <f t="shared" si="24"/>
        <v>0</v>
      </c>
      <c r="O58" s="505">
        <f t="shared" si="25"/>
        <v>0</v>
      </c>
      <c r="P58" s="279"/>
      <c r="R58" s="244"/>
      <c r="S58" s="244"/>
      <c r="T58" s="244"/>
      <c r="U58" s="244"/>
    </row>
    <row r="59" spans="2:21" ht="12.5">
      <c r="B59" s="145" t="str">
        <f t="shared" si="20"/>
        <v/>
      </c>
      <c r="C59" s="496">
        <f>IF(D11="","-",+C58+1)</f>
        <v>2053</v>
      </c>
      <c r="D59" s="509">
        <f>IF(F58+SUM(E$17:E58)=D$10,F58,D$10-SUM(E$17:E58))</f>
        <v>0</v>
      </c>
      <c r="E59" s="510">
        <f>IF(+I14&lt;F58,I14,D59)</f>
        <v>0</v>
      </c>
      <c r="F59" s="511">
        <f t="shared" si="21"/>
        <v>0</v>
      </c>
      <c r="G59" s="512">
        <f t="shared" si="18"/>
        <v>0</v>
      </c>
      <c r="H59" s="478">
        <f t="shared" si="19"/>
        <v>0</v>
      </c>
      <c r="I59" s="501">
        <f t="shared" si="22"/>
        <v>0</v>
      </c>
      <c r="J59" s="501"/>
      <c r="K59" s="513"/>
      <c r="L59" s="505">
        <f t="shared" si="23"/>
        <v>0</v>
      </c>
      <c r="M59" s="513"/>
      <c r="N59" s="505">
        <f t="shared" si="24"/>
        <v>0</v>
      </c>
      <c r="O59" s="505">
        <f t="shared" si="25"/>
        <v>0</v>
      </c>
      <c r="P59" s="279"/>
      <c r="R59" s="244"/>
      <c r="S59" s="244"/>
      <c r="T59" s="244"/>
      <c r="U59" s="244"/>
    </row>
    <row r="60" spans="2:21" ht="12.5">
      <c r="B60" s="145" t="str">
        <f t="shared" si="20"/>
        <v/>
      </c>
      <c r="C60" s="496">
        <f>IF(D11="","-",+C59+1)</f>
        <v>2054</v>
      </c>
      <c r="D60" s="509">
        <f>IF(F59+SUM(E$17:E59)=D$10,F59,D$10-SUM(E$17:E59))</f>
        <v>0</v>
      </c>
      <c r="E60" s="510">
        <f>IF(+I14&lt;F59,I14,D60)</f>
        <v>0</v>
      </c>
      <c r="F60" s="511">
        <f t="shared" si="21"/>
        <v>0</v>
      </c>
      <c r="G60" s="512">
        <f t="shared" si="18"/>
        <v>0</v>
      </c>
      <c r="H60" s="478">
        <f t="shared" si="19"/>
        <v>0</v>
      </c>
      <c r="I60" s="501">
        <f t="shared" si="22"/>
        <v>0</v>
      </c>
      <c r="J60" s="501"/>
      <c r="K60" s="513"/>
      <c r="L60" s="505">
        <f t="shared" si="23"/>
        <v>0</v>
      </c>
      <c r="M60" s="513"/>
      <c r="N60" s="505">
        <f t="shared" si="24"/>
        <v>0</v>
      </c>
      <c r="O60" s="505">
        <f t="shared" si="25"/>
        <v>0</v>
      </c>
      <c r="P60" s="279"/>
      <c r="R60" s="244"/>
      <c r="S60" s="244"/>
      <c r="T60" s="244"/>
      <c r="U60" s="244"/>
    </row>
    <row r="61" spans="2:21" ht="12.5">
      <c r="B61" s="145" t="str">
        <f t="shared" si="20"/>
        <v/>
      </c>
      <c r="C61" s="496">
        <f>IF(D11="","-",+C60+1)</f>
        <v>2055</v>
      </c>
      <c r="D61" s="509">
        <f>IF(F60+SUM(E$17:E60)=D$10,F60,D$10-SUM(E$17:E60))</f>
        <v>0</v>
      </c>
      <c r="E61" s="510">
        <f>IF(+I14&lt;F60,I14,D61)</f>
        <v>0</v>
      </c>
      <c r="F61" s="511">
        <f t="shared" si="21"/>
        <v>0</v>
      </c>
      <c r="G61" s="512">
        <f t="shared" si="18"/>
        <v>0</v>
      </c>
      <c r="H61" s="478">
        <f t="shared" si="19"/>
        <v>0</v>
      </c>
      <c r="I61" s="501">
        <f t="shared" si="22"/>
        <v>0</v>
      </c>
      <c r="J61" s="501"/>
      <c r="K61" s="513"/>
      <c r="L61" s="505">
        <f t="shared" si="23"/>
        <v>0</v>
      </c>
      <c r="M61" s="513"/>
      <c r="N61" s="505">
        <f t="shared" si="24"/>
        <v>0</v>
      </c>
      <c r="O61" s="505">
        <f t="shared" si="25"/>
        <v>0</v>
      </c>
      <c r="P61" s="279"/>
      <c r="R61" s="244"/>
      <c r="S61" s="244"/>
      <c r="T61" s="244"/>
      <c r="U61" s="244"/>
    </row>
    <row r="62" spans="2:21" ht="12.5">
      <c r="B62" s="145" t="str">
        <f t="shared" si="20"/>
        <v/>
      </c>
      <c r="C62" s="496">
        <f>IF(D11="","-",+C61+1)</f>
        <v>2056</v>
      </c>
      <c r="D62" s="509">
        <f>IF(F61+SUM(E$17:E61)=D$10,F61,D$10-SUM(E$17:E61))</f>
        <v>0</v>
      </c>
      <c r="E62" s="510">
        <f>IF(+I14&lt;F61,I14,D62)</f>
        <v>0</v>
      </c>
      <c r="F62" s="511">
        <f t="shared" si="21"/>
        <v>0</v>
      </c>
      <c r="G62" s="524">
        <f t="shared" si="18"/>
        <v>0</v>
      </c>
      <c r="H62" s="478">
        <f t="shared" si="19"/>
        <v>0</v>
      </c>
      <c r="I62" s="501">
        <f t="shared" si="22"/>
        <v>0</v>
      </c>
      <c r="J62" s="501"/>
      <c r="K62" s="513"/>
      <c r="L62" s="505">
        <f t="shared" si="23"/>
        <v>0</v>
      </c>
      <c r="M62" s="513"/>
      <c r="N62" s="505">
        <f t="shared" si="24"/>
        <v>0</v>
      </c>
      <c r="O62" s="505">
        <f t="shared" si="25"/>
        <v>0</v>
      </c>
      <c r="P62" s="279"/>
      <c r="R62" s="244"/>
      <c r="S62" s="244"/>
      <c r="T62" s="244"/>
      <c r="U62" s="244"/>
    </row>
    <row r="63" spans="2:21" ht="12.5">
      <c r="B63" s="145" t="str">
        <f t="shared" si="20"/>
        <v/>
      </c>
      <c r="C63" s="496">
        <f>IF(D11="","-",+C62+1)</f>
        <v>2057</v>
      </c>
      <c r="D63" s="509">
        <f>IF(F62+SUM(E$17:E62)=D$10,F62,D$10-SUM(E$17:E62))</f>
        <v>0</v>
      </c>
      <c r="E63" s="510">
        <f>IF(+I14&lt;F62,I14,D63)</f>
        <v>0</v>
      </c>
      <c r="F63" s="511">
        <f t="shared" si="21"/>
        <v>0</v>
      </c>
      <c r="G63" s="524">
        <f t="shared" si="18"/>
        <v>0</v>
      </c>
      <c r="H63" s="478">
        <f t="shared" si="19"/>
        <v>0</v>
      </c>
      <c r="I63" s="501">
        <f t="shared" si="22"/>
        <v>0</v>
      </c>
      <c r="J63" s="501"/>
      <c r="K63" s="513"/>
      <c r="L63" s="505">
        <f t="shared" si="23"/>
        <v>0</v>
      </c>
      <c r="M63" s="513"/>
      <c r="N63" s="505">
        <f t="shared" si="24"/>
        <v>0</v>
      </c>
      <c r="O63" s="505">
        <f t="shared" si="25"/>
        <v>0</v>
      </c>
      <c r="P63" s="279"/>
      <c r="R63" s="244"/>
      <c r="S63" s="244"/>
      <c r="T63" s="244"/>
      <c r="U63" s="244"/>
    </row>
    <row r="64" spans="2:21" ht="12.5">
      <c r="B64" s="145" t="str">
        <f t="shared" si="20"/>
        <v/>
      </c>
      <c r="C64" s="496">
        <f>IF(D11="","-",+C63+1)</f>
        <v>2058</v>
      </c>
      <c r="D64" s="509">
        <f>IF(F63+SUM(E$17:E63)=D$10,F63,D$10-SUM(E$17:E63))</f>
        <v>0</v>
      </c>
      <c r="E64" s="510">
        <f>IF(+I14&lt;F63,I14,D64)</f>
        <v>0</v>
      </c>
      <c r="F64" s="511">
        <f t="shared" si="21"/>
        <v>0</v>
      </c>
      <c r="G64" s="524">
        <f t="shared" si="18"/>
        <v>0</v>
      </c>
      <c r="H64" s="478">
        <f t="shared" si="19"/>
        <v>0</v>
      </c>
      <c r="I64" s="501">
        <f t="shared" si="22"/>
        <v>0</v>
      </c>
      <c r="J64" s="501"/>
      <c r="K64" s="513"/>
      <c r="L64" s="505">
        <f t="shared" si="23"/>
        <v>0</v>
      </c>
      <c r="M64" s="513"/>
      <c r="N64" s="505">
        <f t="shared" si="24"/>
        <v>0</v>
      </c>
      <c r="O64" s="505">
        <f t="shared" si="25"/>
        <v>0</v>
      </c>
      <c r="P64" s="279"/>
      <c r="R64" s="244"/>
      <c r="S64" s="244"/>
      <c r="T64" s="244"/>
      <c r="U64" s="244"/>
    </row>
    <row r="65" spans="2:21" ht="12.5">
      <c r="B65" s="145" t="str">
        <f t="shared" si="20"/>
        <v/>
      </c>
      <c r="C65" s="496">
        <f>IF(D11="","-",+C64+1)</f>
        <v>2059</v>
      </c>
      <c r="D65" s="509">
        <f>IF(F64+SUM(E$17:E64)=D$10,F64,D$10-SUM(E$17:E64))</f>
        <v>0</v>
      </c>
      <c r="E65" s="510">
        <f>IF(+I14&lt;F64,I14,D65)</f>
        <v>0</v>
      </c>
      <c r="F65" s="511">
        <f t="shared" si="21"/>
        <v>0</v>
      </c>
      <c r="G65" s="524">
        <f t="shared" si="18"/>
        <v>0</v>
      </c>
      <c r="H65" s="478">
        <f t="shared" si="19"/>
        <v>0</v>
      </c>
      <c r="I65" s="501">
        <f t="shared" si="22"/>
        <v>0</v>
      </c>
      <c r="J65" s="501"/>
      <c r="K65" s="513"/>
      <c r="L65" s="505">
        <f t="shared" si="23"/>
        <v>0</v>
      </c>
      <c r="M65" s="513"/>
      <c r="N65" s="505">
        <f t="shared" si="24"/>
        <v>0</v>
      </c>
      <c r="O65" s="505">
        <f t="shared" si="25"/>
        <v>0</v>
      </c>
      <c r="P65" s="279"/>
      <c r="R65" s="244"/>
      <c r="S65" s="244"/>
      <c r="T65" s="244"/>
      <c r="U65" s="244"/>
    </row>
    <row r="66" spans="2:21" ht="12.5">
      <c r="B66" s="145" t="str">
        <f t="shared" si="20"/>
        <v/>
      </c>
      <c r="C66" s="496">
        <f>IF(D11="","-",+C65+1)</f>
        <v>2060</v>
      </c>
      <c r="D66" s="509">
        <f>IF(F65+SUM(E$17:E65)=D$10,F65,D$10-SUM(E$17:E65))</f>
        <v>0</v>
      </c>
      <c r="E66" s="510">
        <f>IF(+I14&lt;F65,I14,D66)</f>
        <v>0</v>
      </c>
      <c r="F66" s="511">
        <f t="shared" si="21"/>
        <v>0</v>
      </c>
      <c r="G66" s="524">
        <f t="shared" si="18"/>
        <v>0</v>
      </c>
      <c r="H66" s="478">
        <f t="shared" si="19"/>
        <v>0</v>
      </c>
      <c r="I66" s="501">
        <f t="shared" si="22"/>
        <v>0</v>
      </c>
      <c r="J66" s="501"/>
      <c r="K66" s="513"/>
      <c r="L66" s="505">
        <f t="shared" si="23"/>
        <v>0</v>
      </c>
      <c r="M66" s="513"/>
      <c r="N66" s="505">
        <f t="shared" si="24"/>
        <v>0</v>
      </c>
      <c r="O66" s="505">
        <f t="shared" si="25"/>
        <v>0</v>
      </c>
      <c r="P66" s="279"/>
      <c r="R66" s="244"/>
      <c r="S66" s="244"/>
      <c r="T66" s="244"/>
      <c r="U66" s="244"/>
    </row>
    <row r="67" spans="2:21" ht="12.5">
      <c r="B67" s="145" t="str">
        <f t="shared" si="20"/>
        <v/>
      </c>
      <c r="C67" s="496">
        <f>IF(D11="","-",+C66+1)</f>
        <v>2061</v>
      </c>
      <c r="D67" s="509">
        <f>IF(F66+SUM(E$17:E66)=D$10,F66,D$10-SUM(E$17:E66))</f>
        <v>0</v>
      </c>
      <c r="E67" s="510">
        <f>IF(+I14&lt;F66,I14,D67)</f>
        <v>0</v>
      </c>
      <c r="F67" s="511">
        <f t="shared" si="21"/>
        <v>0</v>
      </c>
      <c r="G67" s="524">
        <f t="shared" si="18"/>
        <v>0</v>
      </c>
      <c r="H67" s="478">
        <f t="shared" si="19"/>
        <v>0</v>
      </c>
      <c r="I67" s="501">
        <f t="shared" si="22"/>
        <v>0</v>
      </c>
      <c r="J67" s="501"/>
      <c r="K67" s="513"/>
      <c r="L67" s="505">
        <f t="shared" si="23"/>
        <v>0</v>
      </c>
      <c r="M67" s="513"/>
      <c r="N67" s="505">
        <f t="shared" si="24"/>
        <v>0</v>
      </c>
      <c r="O67" s="505">
        <f t="shared" si="25"/>
        <v>0</v>
      </c>
      <c r="P67" s="279"/>
      <c r="R67" s="244"/>
      <c r="S67" s="244"/>
      <c r="T67" s="244"/>
      <c r="U67" s="244"/>
    </row>
    <row r="68" spans="2:21" ht="12.5">
      <c r="B68" s="145" t="str">
        <f t="shared" si="20"/>
        <v/>
      </c>
      <c r="C68" s="496">
        <f>IF(D11="","-",+C67+1)</f>
        <v>2062</v>
      </c>
      <c r="D68" s="509">
        <f>IF(F67+SUM(E$17:E67)=D$10,F67,D$10-SUM(E$17:E67))</f>
        <v>0</v>
      </c>
      <c r="E68" s="510">
        <f>IF(+I14&lt;F67,I14,D68)</f>
        <v>0</v>
      </c>
      <c r="F68" s="511">
        <f t="shared" si="21"/>
        <v>0</v>
      </c>
      <c r="G68" s="524">
        <f t="shared" si="18"/>
        <v>0</v>
      </c>
      <c r="H68" s="478">
        <f t="shared" si="19"/>
        <v>0</v>
      </c>
      <c r="I68" s="501">
        <f t="shared" si="22"/>
        <v>0</v>
      </c>
      <c r="J68" s="501"/>
      <c r="K68" s="513"/>
      <c r="L68" s="505">
        <f t="shared" si="23"/>
        <v>0</v>
      </c>
      <c r="M68" s="513"/>
      <c r="N68" s="505">
        <f t="shared" si="24"/>
        <v>0</v>
      </c>
      <c r="O68" s="505">
        <f t="shared" si="25"/>
        <v>0</v>
      </c>
      <c r="P68" s="279"/>
      <c r="R68" s="244"/>
      <c r="S68" s="244"/>
      <c r="T68" s="244"/>
      <c r="U68" s="244"/>
    </row>
    <row r="69" spans="2:21" ht="12.5">
      <c r="B69" s="145" t="str">
        <f t="shared" si="20"/>
        <v/>
      </c>
      <c r="C69" s="496">
        <f>IF(D11="","-",+C68+1)</f>
        <v>2063</v>
      </c>
      <c r="D69" s="509">
        <f>IF(F68+SUM(E$17:E68)=D$10,F68,D$10-SUM(E$17:E68))</f>
        <v>0</v>
      </c>
      <c r="E69" s="510">
        <f>IF(+I14&lt;F68,I14,D69)</f>
        <v>0</v>
      </c>
      <c r="F69" s="511">
        <f t="shared" si="21"/>
        <v>0</v>
      </c>
      <c r="G69" s="524">
        <f t="shared" si="18"/>
        <v>0</v>
      </c>
      <c r="H69" s="478">
        <f t="shared" si="19"/>
        <v>0</v>
      </c>
      <c r="I69" s="501">
        <f t="shared" si="22"/>
        <v>0</v>
      </c>
      <c r="J69" s="501"/>
      <c r="K69" s="513"/>
      <c r="L69" s="505">
        <f t="shared" si="23"/>
        <v>0</v>
      </c>
      <c r="M69" s="513"/>
      <c r="N69" s="505">
        <f t="shared" si="24"/>
        <v>0</v>
      </c>
      <c r="O69" s="505">
        <f t="shared" si="25"/>
        <v>0</v>
      </c>
      <c r="P69" s="279"/>
      <c r="R69" s="244"/>
      <c r="S69" s="244"/>
      <c r="T69" s="244"/>
      <c r="U69" s="244"/>
    </row>
    <row r="70" spans="2:21" ht="12.5">
      <c r="B70" s="145" t="str">
        <f t="shared" si="20"/>
        <v/>
      </c>
      <c r="C70" s="496">
        <f>IF(D11="","-",+C69+1)</f>
        <v>2064</v>
      </c>
      <c r="D70" s="509">
        <f>IF(F69+SUM(E$17:E69)=D$10,F69,D$10-SUM(E$17:E69))</f>
        <v>0</v>
      </c>
      <c r="E70" s="510">
        <f>IF(+I14&lt;F69,I14,D70)</f>
        <v>0</v>
      </c>
      <c r="F70" s="511">
        <f t="shared" si="21"/>
        <v>0</v>
      </c>
      <c r="G70" s="524">
        <f t="shared" si="18"/>
        <v>0</v>
      </c>
      <c r="H70" s="478">
        <f t="shared" si="19"/>
        <v>0</v>
      </c>
      <c r="I70" s="501">
        <f t="shared" si="22"/>
        <v>0</v>
      </c>
      <c r="J70" s="501"/>
      <c r="K70" s="513"/>
      <c r="L70" s="505">
        <f t="shared" si="23"/>
        <v>0</v>
      </c>
      <c r="M70" s="513"/>
      <c r="N70" s="505">
        <f t="shared" si="24"/>
        <v>0</v>
      </c>
      <c r="O70" s="505">
        <f t="shared" si="25"/>
        <v>0</v>
      </c>
      <c r="P70" s="279"/>
      <c r="R70" s="244"/>
      <c r="S70" s="244"/>
      <c r="T70" s="244"/>
      <c r="U70" s="244"/>
    </row>
    <row r="71" spans="2:21" ht="12.5">
      <c r="B71" s="145" t="str">
        <f t="shared" si="20"/>
        <v/>
      </c>
      <c r="C71" s="496">
        <f>IF(D11="","-",+C70+1)</f>
        <v>2065</v>
      </c>
      <c r="D71" s="509">
        <f>IF(F70+SUM(E$17:E70)=D$10,F70,D$10-SUM(E$17:E70))</f>
        <v>0</v>
      </c>
      <c r="E71" s="510">
        <f>IF(+I14&lt;F70,I14,D71)</f>
        <v>0</v>
      </c>
      <c r="F71" s="511">
        <f t="shared" si="21"/>
        <v>0</v>
      </c>
      <c r="G71" s="524">
        <f t="shared" si="18"/>
        <v>0</v>
      </c>
      <c r="H71" s="478">
        <f t="shared" si="19"/>
        <v>0</v>
      </c>
      <c r="I71" s="501">
        <f t="shared" si="22"/>
        <v>0</v>
      </c>
      <c r="J71" s="501"/>
      <c r="K71" s="513"/>
      <c r="L71" s="505">
        <f t="shared" si="23"/>
        <v>0</v>
      </c>
      <c r="M71" s="513"/>
      <c r="N71" s="505">
        <f t="shared" si="24"/>
        <v>0</v>
      </c>
      <c r="O71" s="505">
        <f t="shared" si="25"/>
        <v>0</v>
      </c>
      <c r="P71" s="279"/>
      <c r="R71" s="244"/>
      <c r="S71" s="244"/>
      <c r="T71" s="244"/>
      <c r="U71" s="244"/>
    </row>
    <row r="72" spans="2:21" ht="12.5">
      <c r="B72" s="145" t="str">
        <f t="shared" si="20"/>
        <v/>
      </c>
      <c r="C72" s="496">
        <f>IF(D11="","-",+C71+1)</f>
        <v>2066</v>
      </c>
      <c r="D72" s="509">
        <f>IF(F71+SUM(E$17:E71)=D$10,F71,D$10-SUM(E$17:E71))</f>
        <v>0</v>
      </c>
      <c r="E72" s="510">
        <f>IF(+I14&lt;F71,I14,D72)</f>
        <v>0</v>
      </c>
      <c r="F72" s="511">
        <f t="shared" si="21"/>
        <v>0</v>
      </c>
      <c r="G72" s="524">
        <f t="shared" si="18"/>
        <v>0</v>
      </c>
      <c r="H72" s="478">
        <f t="shared" si="19"/>
        <v>0</v>
      </c>
      <c r="I72" s="501">
        <f t="shared" si="22"/>
        <v>0</v>
      </c>
      <c r="J72" s="501"/>
      <c r="K72" s="513"/>
      <c r="L72" s="505">
        <f t="shared" si="23"/>
        <v>0</v>
      </c>
      <c r="M72" s="513"/>
      <c r="N72" s="505">
        <f t="shared" si="24"/>
        <v>0</v>
      </c>
      <c r="O72" s="505">
        <f t="shared" si="25"/>
        <v>0</v>
      </c>
      <c r="P72" s="279"/>
      <c r="R72" s="244"/>
      <c r="S72" s="244"/>
      <c r="T72" s="244"/>
      <c r="U72" s="244"/>
    </row>
    <row r="73" spans="2:21" ht="13" thickBot="1">
      <c r="B73" s="145" t="str">
        <f t="shared" si="20"/>
        <v/>
      </c>
      <c r="C73" s="525">
        <f>IF(D11="","-",+C72+1)</f>
        <v>2067</v>
      </c>
      <c r="D73" s="526">
        <f>IF(F72+SUM(E$17:E72)=D$10,F72,D$10-SUM(E$17:E72))</f>
        <v>0</v>
      </c>
      <c r="E73" s="527">
        <f>IF(+I14&lt;F72,I14,D73)</f>
        <v>0</v>
      </c>
      <c r="F73" s="528">
        <f t="shared" si="21"/>
        <v>0</v>
      </c>
      <c r="G73" s="529">
        <f t="shared" si="18"/>
        <v>0</v>
      </c>
      <c r="H73" s="459">
        <f t="shared" si="19"/>
        <v>0</v>
      </c>
      <c r="I73" s="530">
        <f t="shared" si="22"/>
        <v>0</v>
      </c>
      <c r="J73" s="501"/>
      <c r="K73" s="531"/>
      <c r="L73" s="532">
        <f t="shared" si="23"/>
        <v>0</v>
      </c>
      <c r="M73" s="531"/>
      <c r="N73" s="532">
        <f t="shared" si="24"/>
        <v>0</v>
      </c>
      <c r="O73" s="532">
        <f t="shared" si="25"/>
        <v>0</v>
      </c>
      <c r="P73" s="279"/>
      <c r="R73" s="244"/>
      <c r="S73" s="244"/>
      <c r="T73" s="244"/>
      <c r="U73" s="244"/>
    </row>
    <row r="74" spans="2:21" ht="12.5">
      <c r="C74" s="350" t="s">
        <v>75</v>
      </c>
      <c r="D74" s="295"/>
      <c r="E74" s="295">
        <f>SUM(E17:E73)</f>
        <v>11038232</v>
      </c>
      <c r="F74" s="295"/>
      <c r="G74" s="295">
        <f>SUM(G17:G73)</f>
        <v>35786418.880776785</v>
      </c>
      <c r="H74" s="295">
        <f>SUM(H17:H73)</f>
        <v>35786418.880776785</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4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1256941.3903317812</v>
      </c>
      <c r="N88" s="545">
        <f>IF(J93&lt;D11,0,VLOOKUP(J93,C17:O73,11))</f>
        <v>1256941.3903317812</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1382188.503498273</v>
      </c>
      <c r="N89" s="549">
        <f>IF(J93&lt;D11,0,VLOOKUP(J93,C100:P155,7))</f>
        <v>1382188.503498273</v>
      </c>
      <c r="O89" s="550">
        <f>+N89-M89</f>
        <v>0</v>
      </c>
      <c r="P89" s="244"/>
      <c r="Q89" s="244"/>
      <c r="R89" s="244"/>
      <c r="S89" s="244"/>
      <c r="T89" s="244"/>
      <c r="U89" s="244"/>
    </row>
    <row r="90" spans="1:21" ht="13.5" thickBot="1">
      <c r="C90" s="455" t="s">
        <v>82</v>
      </c>
      <c r="D90" s="551" t="str">
        <f>+D7</f>
        <v xml:space="preserve">Bartlesville SE to Coffeyville T Rebuild </v>
      </c>
      <c r="E90" s="244"/>
      <c r="F90" s="244"/>
      <c r="G90" s="244"/>
      <c r="H90" s="244"/>
      <c r="I90" s="326"/>
      <c r="J90" s="326"/>
      <c r="K90" s="552"/>
      <c r="L90" s="553" t="s">
        <v>135</v>
      </c>
      <c r="M90" s="554">
        <f>+M89-M88</f>
        <v>125247.11316649173</v>
      </c>
      <c r="N90" s="554">
        <f>+N89-N88</f>
        <v>125247.11316649173</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TP2008079</v>
      </c>
      <c r="E92" s="559"/>
      <c r="F92" s="559"/>
      <c r="G92" s="559"/>
      <c r="H92" s="559"/>
      <c r="I92" s="559"/>
      <c r="J92" s="559"/>
      <c r="K92" s="561"/>
      <c r="P92" s="469"/>
      <c r="Q92" s="244"/>
      <c r="R92" s="244"/>
      <c r="S92" s="244"/>
      <c r="T92" s="244"/>
      <c r="U92" s="244"/>
    </row>
    <row r="93" spans="1:21" ht="13">
      <c r="C93" s="473" t="s">
        <v>49</v>
      </c>
      <c r="D93" s="599">
        <f>D10</f>
        <v>11038232</v>
      </c>
      <c r="E93" s="249" t="s">
        <v>84</v>
      </c>
      <c r="H93" s="409"/>
      <c r="I93" s="409"/>
      <c r="J93" s="472">
        <f>+'OKT.WS.G.BPU.ATRR.True-up'!M16</f>
        <v>2023</v>
      </c>
      <c r="K93" s="468"/>
      <c r="L93" s="295" t="s">
        <v>85</v>
      </c>
      <c r="P93" s="279"/>
      <c r="Q93" s="244"/>
      <c r="R93" s="244"/>
      <c r="S93" s="244"/>
      <c r="T93" s="244"/>
      <c r="U93" s="244"/>
    </row>
    <row r="94" spans="1:21" ht="12.5">
      <c r="C94" s="473" t="s">
        <v>52</v>
      </c>
      <c r="D94" s="562">
        <f>IF(D11=I10,"",D11)</f>
        <v>2011</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IF(D11=I10,"",D12)</f>
        <v>6</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580959.57894736843</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494" t="s">
        <v>71</v>
      </c>
      <c r="I99" s="490" t="s">
        <v>72</v>
      </c>
      <c r="J99" s="491" t="s">
        <v>93</v>
      </c>
      <c r="K99" s="492"/>
      <c r="L99" s="600" t="s">
        <v>74</v>
      </c>
      <c r="M99" s="600" t="s">
        <v>74</v>
      </c>
      <c r="N99" s="600" t="s">
        <v>94</v>
      </c>
      <c r="O99" s="600" t="s">
        <v>94</v>
      </c>
      <c r="P99" s="600" t="s">
        <v>94</v>
      </c>
      <c r="Q99" s="244"/>
      <c r="R99" s="244"/>
      <c r="S99" s="244"/>
      <c r="T99" s="244"/>
      <c r="U99" s="244"/>
    </row>
    <row r="100" spans="1:21" ht="12.5">
      <c r="B100" s="145" t="str">
        <f t="shared" ref="B100:B131" si="26">IF(D100=F99,"","IU")</f>
        <v>IU</v>
      </c>
      <c r="C100" s="496">
        <f>IF(D94= "","-",D94)</f>
        <v>2011</v>
      </c>
      <c r="D100" s="497">
        <v>0</v>
      </c>
      <c r="E100" s="499">
        <v>101638.13793103448</v>
      </c>
      <c r="F100" s="506">
        <v>11688385.862068966</v>
      </c>
      <c r="G100" s="572">
        <v>5844192.931034483</v>
      </c>
      <c r="H100" s="572">
        <v>536168.05303368822</v>
      </c>
      <c r="I100" s="572">
        <v>536168.05303368822</v>
      </c>
      <c r="J100" s="505">
        <v>0</v>
      </c>
      <c r="K100" s="589"/>
      <c r="L100" s="601">
        <f t="shared" ref="L100:L105" si="27">H100</f>
        <v>536168.05303368822</v>
      </c>
      <c r="M100" s="522">
        <f t="shared" ref="M100:M131" si="28">IF(L100&lt;&gt;0,+H100-L100,0)</f>
        <v>0</v>
      </c>
      <c r="N100" s="602">
        <f t="shared" ref="N100:N105" si="29">I100</f>
        <v>536168.05303368822</v>
      </c>
      <c r="O100" s="603">
        <f t="shared" ref="O100:O131" si="30">IF(N100&lt;&gt;0,+I100-N100,0)</f>
        <v>0</v>
      </c>
      <c r="P100" s="604">
        <f t="shared" ref="P100:P131" si="31">+O100-M100</f>
        <v>0</v>
      </c>
      <c r="Q100" s="244"/>
      <c r="R100" s="244"/>
      <c r="S100" s="244"/>
      <c r="T100" s="244"/>
      <c r="U100" s="244"/>
    </row>
    <row r="101" spans="1:21" ht="12.5">
      <c r="B101" s="145" t="str">
        <f t="shared" si="26"/>
        <v>IU</v>
      </c>
      <c r="C101" s="496">
        <f>IF(D94="","-",+C100+1)</f>
        <v>2012</v>
      </c>
      <c r="D101" s="497">
        <v>11641161.862068966</v>
      </c>
      <c r="E101" s="499">
        <v>202462.06896551725</v>
      </c>
      <c r="F101" s="506">
        <v>11438699.793103449</v>
      </c>
      <c r="G101" s="506">
        <v>11539930.827586208</v>
      </c>
      <c r="H101" s="499">
        <v>1372027.6470996495</v>
      </c>
      <c r="I101" s="500">
        <v>1372027.6470996495</v>
      </c>
      <c r="J101" s="505">
        <v>0</v>
      </c>
      <c r="K101" s="589"/>
      <c r="L101" s="593">
        <f t="shared" si="27"/>
        <v>1372027.6470996495</v>
      </c>
      <c r="M101" s="505">
        <f t="shared" ref="M101:M106" si="32">IF(L101&lt;&gt;0,+H101-L101,0)</f>
        <v>0</v>
      </c>
      <c r="N101" s="507">
        <f t="shared" si="29"/>
        <v>1372027.6470996495</v>
      </c>
      <c r="O101" s="351">
        <f>IF(N101&lt;&gt;0,+I101-N101,0)</f>
        <v>0</v>
      </c>
      <c r="P101" s="595">
        <f>+O101-M101</f>
        <v>0</v>
      </c>
      <c r="Q101" s="244"/>
      <c r="R101" s="244"/>
      <c r="S101" s="244"/>
      <c r="T101" s="244"/>
      <c r="U101" s="244"/>
    </row>
    <row r="102" spans="1:21" ht="12.5">
      <c r="B102" s="145" t="str">
        <f t="shared" si="26"/>
        <v/>
      </c>
      <c r="C102" s="496">
        <f>IF(D94="","-",+C101+1)</f>
        <v>2013</v>
      </c>
      <c r="D102" s="497">
        <v>11438699.793103449</v>
      </c>
      <c r="E102" s="499">
        <v>202462.06896551725</v>
      </c>
      <c r="F102" s="506">
        <v>11236237.724137932</v>
      </c>
      <c r="G102" s="506">
        <v>11337468.758620691</v>
      </c>
      <c r="H102" s="499">
        <v>1491078.2600060694</v>
      </c>
      <c r="I102" s="500">
        <v>1491078.2600060694</v>
      </c>
      <c r="J102" s="505">
        <v>0</v>
      </c>
      <c r="K102" s="505"/>
      <c r="L102" s="593">
        <f t="shared" si="27"/>
        <v>1491078.2600060694</v>
      </c>
      <c r="M102" s="505">
        <f t="shared" si="32"/>
        <v>0</v>
      </c>
      <c r="N102" s="507">
        <f t="shared" si="29"/>
        <v>1491078.2600060694</v>
      </c>
      <c r="O102" s="351">
        <f>IF(N102&lt;&gt;0,+I102-N102,0)</f>
        <v>0</v>
      </c>
      <c r="P102" s="595">
        <f>+O102-M102</f>
        <v>0</v>
      </c>
      <c r="Q102" s="244"/>
      <c r="R102" s="244"/>
      <c r="S102" s="244"/>
      <c r="T102" s="244"/>
      <c r="U102" s="244"/>
    </row>
    <row r="103" spans="1:21" ht="12.5">
      <c r="B103" s="145" t="str">
        <f t="shared" si="26"/>
        <v/>
      </c>
      <c r="C103" s="496">
        <f>IF(D94="","-",+C102+1)</f>
        <v>2014</v>
      </c>
      <c r="D103" s="497">
        <v>11236237.724137932</v>
      </c>
      <c r="E103" s="499">
        <v>202462.06896551725</v>
      </c>
      <c r="F103" s="506">
        <v>11033775.655172415</v>
      </c>
      <c r="G103" s="506">
        <v>11135006.689655174</v>
      </c>
      <c r="H103" s="499">
        <v>1399958.856395772</v>
      </c>
      <c r="I103" s="500">
        <v>1399958.856395772</v>
      </c>
      <c r="J103" s="505">
        <v>0</v>
      </c>
      <c r="K103" s="505"/>
      <c r="L103" s="593">
        <f t="shared" si="27"/>
        <v>1399958.856395772</v>
      </c>
      <c r="M103" s="505">
        <f t="shared" si="32"/>
        <v>0</v>
      </c>
      <c r="N103" s="507">
        <f t="shared" si="29"/>
        <v>1399958.856395772</v>
      </c>
      <c r="O103" s="351">
        <f>IF(N103&lt;&gt;0,+I103-N103,0)</f>
        <v>0</v>
      </c>
      <c r="P103" s="595">
        <f>+O103-M103</f>
        <v>0</v>
      </c>
      <c r="Q103" s="244"/>
      <c r="R103" s="244"/>
      <c r="S103" s="244"/>
      <c r="T103" s="244"/>
      <c r="U103" s="244"/>
    </row>
    <row r="104" spans="1:21" ht="12.5">
      <c r="B104" s="145" t="str">
        <f t="shared" si="26"/>
        <v>IU</v>
      </c>
      <c r="C104" s="496">
        <f>IF(D94="","-",+C103+1)</f>
        <v>2015</v>
      </c>
      <c r="D104" s="497">
        <v>10329207.655172413</v>
      </c>
      <c r="E104" s="499">
        <v>229963.16666666666</v>
      </c>
      <c r="F104" s="506">
        <v>10099244.488505747</v>
      </c>
      <c r="G104" s="506">
        <v>10214226.071839079</v>
      </c>
      <c r="H104" s="499">
        <v>1367107.118762597</v>
      </c>
      <c r="I104" s="500">
        <v>1367107.118762597</v>
      </c>
      <c r="J104" s="505">
        <v>0</v>
      </c>
      <c r="K104" s="505"/>
      <c r="L104" s="593">
        <f t="shared" si="27"/>
        <v>1367107.118762597</v>
      </c>
      <c r="M104" s="505">
        <f t="shared" si="32"/>
        <v>0</v>
      </c>
      <c r="N104" s="507">
        <f t="shared" si="29"/>
        <v>1367107.118762597</v>
      </c>
      <c r="O104" s="501">
        <f t="shared" si="30"/>
        <v>0</v>
      </c>
      <c r="P104" s="505">
        <f t="shared" si="31"/>
        <v>0</v>
      </c>
      <c r="Q104" s="244"/>
      <c r="R104" s="244"/>
      <c r="S104" s="244"/>
      <c r="T104" s="244"/>
      <c r="U104" s="244"/>
    </row>
    <row r="105" spans="1:21" ht="12.5">
      <c r="B105" s="145" t="str">
        <f t="shared" si="26"/>
        <v/>
      </c>
      <c r="C105" s="496">
        <f>IF(D94="","-",+C104+1)</f>
        <v>2016</v>
      </c>
      <c r="D105" s="497">
        <v>10099244.488505747</v>
      </c>
      <c r="E105" s="499">
        <v>216435.92156862744</v>
      </c>
      <c r="F105" s="506">
        <v>9882808.5669371206</v>
      </c>
      <c r="G105" s="506">
        <v>9991026.5277214348</v>
      </c>
      <c r="H105" s="499">
        <v>1299158.0653771381</v>
      </c>
      <c r="I105" s="500">
        <v>1299158.0653771381</v>
      </c>
      <c r="J105" s="505">
        <f t="shared" ref="J105:J131" si="33">+I105-H105</f>
        <v>0</v>
      </c>
      <c r="K105" s="505"/>
      <c r="L105" s="593">
        <f t="shared" si="27"/>
        <v>1299158.0653771381</v>
      </c>
      <c r="M105" s="505">
        <f t="shared" si="32"/>
        <v>0</v>
      </c>
      <c r="N105" s="507">
        <f t="shared" si="29"/>
        <v>1299158.0653771381</v>
      </c>
      <c r="O105" s="501">
        <f>IF(N105&lt;&gt;0,+I105-N105,0)</f>
        <v>0</v>
      </c>
      <c r="P105" s="505">
        <f>+O105-M105</f>
        <v>0</v>
      </c>
      <c r="Q105" s="244"/>
      <c r="R105" s="244"/>
      <c r="S105" s="244"/>
      <c r="T105" s="244"/>
      <c r="U105" s="244"/>
    </row>
    <row r="106" spans="1:21" ht="12.5">
      <c r="B106" s="145" t="str">
        <f t="shared" si="26"/>
        <v/>
      </c>
      <c r="C106" s="496">
        <f>IF(D94="","-",+C105+1)</f>
        <v>2017</v>
      </c>
      <c r="D106" s="497">
        <v>9882808.5669371206</v>
      </c>
      <c r="E106" s="499">
        <v>275955.8</v>
      </c>
      <c r="F106" s="506">
        <v>9606852.7669371199</v>
      </c>
      <c r="G106" s="506">
        <v>9744830.6669371203</v>
      </c>
      <c r="H106" s="499">
        <v>1419373.9279001462</v>
      </c>
      <c r="I106" s="500">
        <v>1419373.9279001462</v>
      </c>
      <c r="J106" s="505">
        <v>0</v>
      </c>
      <c r="K106" s="505"/>
      <c r="L106" s="593">
        <f t="shared" ref="L106:L111" si="34">H106</f>
        <v>1419373.9279001462</v>
      </c>
      <c r="M106" s="505">
        <f t="shared" si="32"/>
        <v>0</v>
      </c>
      <c r="N106" s="507">
        <f t="shared" ref="N106:N111" si="35">I106</f>
        <v>1419373.9279001462</v>
      </c>
      <c r="O106" s="501">
        <f>IF(N106&lt;&gt;0,+I106-N106,0)</f>
        <v>0</v>
      </c>
      <c r="P106" s="505">
        <f>+O106-M106</f>
        <v>0</v>
      </c>
      <c r="Q106" s="244"/>
      <c r="R106" s="244"/>
      <c r="S106" s="244"/>
      <c r="T106" s="244"/>
      <c r="U106" s="244"/>
    </row>
    <row r="107" spans="1:21" ht="12.5">
      <c r="B107" s="145" t="str">
        <f t="shared" si="26"/>
        <v/>
      </c>
      <c r="C107" s="496">
        <f>IF(D94="","-",+C106+1)</f>
        <v>2018</v>
      </c>
      <c r="D107" s="497">
        <v>9606852.7669371199</v>
      </c>
      <c r="E107" s="499">
        <v>306617.55555555556</v>
      </c>
      <c r="F107" s="506">
        <v>9300235.2113815639</v>
      </c>
      <c r="G107" s="506">
        <v>9453543.9891593419</v>
      </c>
      <c r="H107" s="499">
        <v>1304556.8117171286</v>
      </c>
      <c r="I107" s="500">
        <v>1304556.8117171286</v>
      </c>
      <c r="J107" s="505">
        <f t="shared" si="33"/>
        <v>0</v>
      </c>
      <c r="K107" s="505"/>
      <c r="L107" s="593">
        <f t="shared" si="34"/>
        <v>1304556.8117171286</v>
      </c>
      <c r="M107" s="505">
        <f t="shared" ref="M107" si="36">IF(L107&lt;&gt;0,+H107-L107,0)</f>
        <v>0</v>
      </c>
      <c r="N107" s="507">
        <f t="shared" si="35"/>
        <v>1304556.8117171286</v>
      </c>
      <c r="O107" s="501">
        <f>IF(N107&lt;&gt;0,+I107-N107,0)</f>
        <v>0</v>
      </c>
      <c r="P107" s="505">
        <f>+O107-M107</f>
        <v>0</v>
      </c>
      <c r="Q107" s="244"/>
      <c r="R107" s="244"/>
      <c r="S107" s="244"/>
      <c r="T107" s="244"/>
      <c r="U107" s="244"/>
    </row>
    <row r="108" spans="1:21" ht="12.5">
      <c r="B108" s="145" t="str">
        <f t="shared" si="26"/>
        <v/>
      </c>
      <c r="C108" s="496">
        <f>IF(D94="","-",+C107+1)</f>
        <v>2019</v>
      </c>
      <c r="D108" s="497">
        <v>9300235.2113815639</v>
      </c>
      <c r="E108" s="499">
        <v>306617.55555555556</v>
      </c>
      <c r="F108" s="506">
        <v>8993617.6558260079</v>
      </c>
      <c r="G108" s="506">
        <v>9146926.4336037859</v>
      </c>
      <c r="H108" s="499">
        <v>1272189.5116159101</v>
      </c>
      <c r="I108" s="500">
        <v>1272189.5116159101</v>
      </c>
      <c r="J108" s="505">
        <f t="shared" si="33"/>
        <v>0</v>
      </c>
      <c r="K108" s="505"/>
      <c r="L108" s="593">
        <f t="shared" si="34"/>
        <v>1272189.5116159101</v>
      </c>
      <c r="M108" s="505">
        <f t="shared" ref="M108" si="37">IF(L108&lt;&gt;0,+H108-L108,0)</f>
        <v>0</v>
      </c>
      <c r="N108" s="507">
        <f t="shared" si="35"/>
        <v>1272189.5116159101</v>
      </c>
      <c r="O108" s="505">
        <f t="shared" si="30"/>
        <v>0</v>
      </c>
      <c r="P108" s="505">
        <f t="shared" si="31"/>
        <v>0</v>
      </c>
      <c r="Q108" s="244"/>
      <c r="R108" s="244"/>
      <c r="S108" s="244"/>
      <c r="T108" s="244"/>
      <c r="U108" s="244"/>
    </row>
    <row r="109" spans="1:21" ht="12.5">
      <c r="B109" s="145" t="str">
        <f t="shared" si="26"/>
        <v/>
      </c>
      <c r="C109" s="496">
        <f>IF(D94="","-",+C108+1)</f>
        <v>2020</v>
      </c>
      <c r="D109" s="497">
        <v>8993617.6558260079</v>
      </c>
      <c r="E109" s="499">
        <v>394222.57142857142</v>
      </c>
      <c r="F109" s="506">
        <v>8599395.0843974371</v>
      </c>
      <c r="G109" s="506">
        <v>8796506.3701117225</v>
      </c>
      <c r="H109" s="499">
        <v>1330289.5929866973</v>
      </c>
      <c r="I109" s="500">
        <v>1330289.5929866973</v>
      </c>
      <c r="J109" s="505">
        <f t="shared" si="33"/>
        <v>0</v>
      </c>
      <c r="K109" s="505"/>
      <c r="L109" s="593">
        <f t="shared" si="34"/>
        <v>1330289.5929866973</v>
      </c>
      <c r="M109" s="505">
        <f t="shared" ref="M109" si="38">IF(L109&lt;&gt;0,+H109-L109,0)</f>
        <v>0</v>
      </c>
      <c r="N109" s="507">
        <f t="shared" si="35"/>
        <v>1330289.5929866973</v>
      </c>
      <c r="O109" s="505">
        <f t="shared" si="30"/>
        <v>0</v>
      </c>
      <c r="P109" s="505">
        <f t="shared" si="31"/>
        <v>0</v>
      </c>
      <c r="Q109" s="244"/>
      <c r="R109" s="244"/>
      <c r="S109" s="244"/>
      <c r="T109" s="244"/>
      <c r="U109" s="244"/>
    </row>
    <row r="110" spans="1:21" ht="12.5">
      <c r="B110" s="145" t="str">
        <f t="shared" si="26"/>
        <v/>
      </c>
      <c r="C110" s="496">
        <f>IF(D94="","-",+C109+1)</f>
        <v>2021</v>
      </c>
      <c r="D110" s="497">
        <v>8599395.0843974371</v>
      </c>
      <c r="E110" s="499">
        <v>441529.28</v>
      </c>
      <c r="F110" s="506">
        <v>8157865.8043974368</v>
      </c>
      <c r="G110" s="506">
        <v>8378630.4443974365</v>
      </c>
      <c r="H110" s="499">
        <v>1429889.3945469856</v>
      </c>
      <c r="I110" s="500">
        <v>1429889.3945469856</v>
      </c>
      <c r="J110" s="505">
        <f t="shared" si="33"/>
        <v>0</v>
      </c>
      <c r="K110" s="505"/>
      <c r="L110" s="593">
        <f t="shared" si="34"/>
        <v>1429889.3945469856</v>
      </c>
      <c r="M110" s="505">
        <f t="shared" ref="M110" si="39">IF(L110&lt;&gt;0,+H110-L110,0)</f>
        <v>0</v>
      </c>
      <c r="N110" s="507">
        <f t="shared" si="35"/>
        <v>1429889.3945469856</v>
      </c>
      <c r="O110" s="505">
        <f t="shared" si="30"/>
        <v>0</v>
      </c>
      <c r="P110" s="505">
        <f t="shared" si="31"/>
        <v>0</v>
      </c>
      <c r="Q110" s="244"/>
      <c r="R110" s="244"/>
      <c r="S110" s="244"/>
      <c r="T110" s="244"/>
      <c r="U110" s="244"/>
    </row>
    <row r="111" spans="1:21" ht="12.5">
      <c r="B111" s="145" t="str">
        <f t="shared" si="26"/>
        <v>IU</v>
      </c>
      <c r="C111" s="496">
        <f>IF(D94="","-",+C110+1)</f>
        <v>2022</v>
      </c>
      <c r="D111" s="497">
        <v>8862433.8043974377</v>
      </c>
      <c r="E111" s="499">
        <v>559180.95238095243</v>
      </c>
      <c r="F111" s="506">
        <v>8303252.8520164853</v>
      </c>
      <c r="G111" s="506">
        <v>8582843.328206962</v>
      </c>
      <c r="H111" s="499">
        <v>1545916.2557497574</v>
      </c>
      <c r="I111" s="500">
        <v>1545916.2557497574</v>
      </c>
      <c r="J111" s="505">
        <f t="shared" si="33"/>
        <v>0</v>
      </c>
      <c r="K111" s="505"/>
      <c r="L111" s="593">
        <f t="shared" si="34"/>
        <v>1545916.2557497574</v>
      </c>
      <c r="M111" s="505">
        <f t="shared" ref="M111" si="40">IF(L111&lt;&gt;0,+H111-L111,0)</f>
        <v>0</v>
      </c>
      <c r="N111" s="507">
        <f t="shared" si="35"/>
        <v>1545916.2557497574</v>
      </c>
      <c r="O111" s="505">
        <f t="shared" ref="O111" si="41">IF(N111&lt;&gt;0,+I111-N111,0)</f>
        <v>0</v>
      </c>
      <c r="P111" s="505">
        <f t="shared" ref="P111" si="42">+O111-M111</f>
        <v>0</v>
      </c>
      <c r="Q111" s="244"/>
      <c r="R111" s="244"/>
      <c r="S111" s="244"/>
      <c r="T111" s="244"/>
      <c r="U111" s="244"/>
    </row>
    <row r="112" spans="1:21" ht="12.5">
      <c r="B112" s="145" t="str">
        <f t="shared" si="26"/>
        <v>IU</v>
      </c>
      <c r="C112" s="496">
        <f>IF(D94="","-",+C111+1)</f>
        <v>2023</v>
      </c>
      <c r="D112" s="350">
        <f>IF(F111+SUM(E$100:E111)=D$93,F111,D$93-SUM(E$100:E111))</f>
        <v>7598684.8520164844</v>
      </c>
      <c r="E112" s="510">
        <f>IF(+J97&lt;F111,J97,D112)</f>
        <v>580959.57894736843</v>
      </c>
      <c r="F112" s="511">
        <f t="shared" ref="F112:F132" si="43">+D112-E112</f>
        <v>7017725.2730691163</v>
      </c>
      <c r="G112" s="511">
        <f t="shared" ref="G112:G131" si="44">+(F112+D112)/2</f>
        <v>7308205.0625427999</v>
      </c>
      <c r="H112" s="645">
        <f t="shared" ref="H112:H155" si="45">(D112+F112)/2*J$95+E112</f>
        <v>1382188.503498273</v>
      </c>
      <c r="I112" s="573">
        <f t="shared" ref="I112:I131" si="46">+J$96*G112+E112</f>
        <v>1382188.503498273</v>
      </c>
      <c r="J112" s="505">
        <f t="shared" si="33"/>
        <v>0</v>
      </c>
      <c r="K112" s="505"/>
      <c r="L112" s="513"/>
      <c r="M112" s="505">
        <f t="shared" si="28"/>
        <v>0</v>
      </c>
      <c r="N112" s="513"/>
      <c r="O112" s="505">
        <f t="shared" si="30"/>
        <v>0</v>
      </c>
      <c r="P112" s="505">
        <f t="shared" si="31"/>
        <v>0</v>
      </c>
      <c r="Q112" s="244"/>
      <c r="R112" s="244"/>
      <c r="S112" s="244"/>
      <c r="T112" s="244"/>
      <c r="U112" s="244"/>
    </row>
    <row r="113" spans="2:21" ht="12.5">
      <c r="B113" s="145" t="str">
        <f t="shared" si="26"/>
        <v/>
      </c>
      <c r="C113" s="496">
        <f>IF(D94="","-",+C112+1)</f>
        <v>2024</v>
      </c>
      <c r="D113" s="350">
        <f>IF(F112+SUM(E$100:E112)=D$93,F112,D$93-SUM(E$100:E112))</f>
        <v>7017725.2730691163</v>
      </c>
      <c r="E113" s="510">
        <f>IF(+J97&lt;F112,J97,D113)</f>
        <v>580959.57894736843</v>
      </c>
      <c r="F113" s="511">
        <f t="shared" si="43"/>
        <v>6436765.6941217482</v>
      </c>
      <c r="G113" s="511">
        <f t="shared" si="44"/>
        <v>6727245.4835954327</v>
      </c>
      <c r="H113" s="645">
        <f t="shared" si="45"/>
        <v>1318495.4879542363</v>
      </c>
      <c r="I113" s="573">
        <f t="shared" si="46"/>
        <v>1318495.4879542363</v>
      </c>
      <c r="J113" s="505">
        <f t="shared" si="33"/>
        <v>0</v>
      </c>
      <c r="K113" s="505"/>
      <c r="L113" s="513"/>
      <c r="M113" s="505">
        <f t="shared" si="28"/>
        <v>0</v>
      </c>
      <c r="N113" s="513"/>
      <c r="O113" s="505">
        <f t="shared" si="30"/>
        <v>0</v>
      </c>
      <c r="P113" s="505">
        <f t="shared" si="31"/>
        <v>0</v>
      </c>
      <c r="Q113" s="244"/>
      <c r="R113" s="244"/>
      <c r="S113" s="244"/>
      <c r="T113" s="244"/>
      <c r="U113" s="244"/>
    </row>
    <row r="114" spans="2:21" ht="12.5">
      <c r="B114" s="145" t="str">
        <f t="shared" si="26"/>
        <v/>
      </c>
      <c r="C114" s="496">
        <f>IF(D94="","-",+C113+1)</f>
        <v>2025</v>
      </c>
      <c r="D114" s="350">
        <f>IF(F113+SUM(E$100:E113)=D$93,F113,D$93-SUM(E$100:E113))</f>
        <v>6436765.6941217482</v>
      </c>
      <c r="E114" s="510">
        <f>IF(+J97&lt;F113,J97,D114)</f>
        <v>580959.57894736843</v>
      </c>
      <c r="F114" s="511">
        <f t="shared" si="43"/>
        <v>5855806.1151743801</v>
      </c>
      <c r="G114" s="511">
        <f t="shared" si="44"/>
        <v>6146285.9046480637</v>
      </c>
      <c r="H114" s="645">
        <f t="shared" si="45"/>
        <v>1254802.4724101997</v>
      </c>
      <c r="I114" s="573">
        <f t="shared" si="46"/>
        <v>1254802.4724101997</v>
      </c>
      <c r="J114" s="505">
        <f t="shared" si="33"/>
        <v>0</v>
      </c>
      <c r="K114" s="505"/>
      <c r="L114" s="513"/>
      <c r="M114" s="505">
        <f t="shared" si="28"/>
        <v>0</v>
      </c>
      <c r="N114" s="513"/>
      <c r="O114" s="505">
        <f t="shared" si="30"/>
        <v>0</v>
      </c>
      <c r="P114" s="505">
        <f t="shared" si="31"/>
        <v>0</v>
      </c>
      <c r="Q114" s="244"/>
      <c r="R114" s="244"/>
      <c r="S114" s="244"/>
      <c r="T114" s="244"/>
      <c r="U114" s="244"/>
    </row>
    <row r="115" spans="2:21" ht="12.5">
      <c r="B115" s="145" t="str">
        <f t="shared" si="26"/>
        <v/>
      </c>
      <c r="C115" s="496">
        <f>IF(D94="","-",+C114+1)</f>
        <v>2026</v>
      </c>
      <c r="D115" s="350">
        <f>IF(F114+SUM(E$100:E114)=D$93,F114,D$93-SUM(E$100:E114))</f>
        <v>5855806.1151743801</v>
      </c>
      <c r="E115" s="510">
        <f>IF(+J97&lt;F114,J97,D115)</f>
        <v>580959.57894736843</v>
      </c>
      <c r="F115" s="511">
        <f t="shared" si="43"/>
        <v>5274846.5362270121</v>
      </c>
      <c r="G115" s="511">
        <f t="shared" si="44"/>
        <v>5565326.3257006966</v>
      </c>
      <c r="H115" s="645">
        <f t="shared" si="45"/>
        <v>1191109.4568661631</v>
      </c>
      <c r="I115" s="573">
        <f t="shared" si="46"/>
        <v>1191109.4568661631</v>
      </c>
      <c r="J115" s="505">
        <f t="shared" si="33"/>
        <v>0</v>
      </c>
      <c r="K115" s="505"/>
      <c r="L115" s="513"/>
      <c r="M115" s="505">
        <f t="shared" si="28"/>
        <v>0</v>
      </c>
      <c r="N115" s="513"/>
      <c r="O115" s="505">
        <f t="shared" si="30"/>
        <v>0</v>
      </c>
      <c r="P115" s="505">
        <f t="shared" si="31"/>
        <v>0</v>
      </c>
      <c r="Q115" s="244"/>
      <c r="R115" s="244"/>
      <c r="S115" s="244"/>
      <c r="T115" s="244"/>
      <c r="U115" s="244"/>
    </row>
    <row r="116" spans="2:21" ht="12.5">
      <c r="B116" s="145" t="str">
        <f t="shared" si="26"/>
        <v/>
      </c>
      <c r="C116" s="496">
        <f>IF(D94="","-",+C115+1)</f>
        <v>2027</v>
      </c>
      <c r="D116" s="350">
        <f>IF(F115+SUM(E$100:E115)=D$93,F115,D$93-SUM(E$100:E115))</f>
        <v>5274846.5362270121</v>
      </c>
      <c r="E116" s="510">
        <f>IF(+J97&lt;F115,J97,D116)</f>
        <v>580959.57894736843</v>
      </c>
      <c r="F116" s="511">
        <f t="shared" si="43"/>
        <v>4693886.957279644</v>
      </c>
      <c r="G116" s="511">
        <f t="shared" si="44"/>
        <v>4984366.7467533275</v>
      </c>
      <c r="H116" s="645">
        <f t="shared" si="45"/>
        <v>1127416.4413221264</v>
      </c>
      <c r="I116" s="573">
        <f t="shared" si="46"/>
        <v>1127416.4413221264</v>
      </c>
      <c r="J116" s="505">
        <f t="shared" si="33"/>
        <v>0</v>
      </c>
      <c r="K116" s="505"/>
      <c r="L116" s="513"/>
      <c r="M116" s="505">
        <f t="shared" si="28"/>
        <v>0</v>
      </c>
      <c r="N116" s="513"/>
      <c r="O116" s="505">
        <f t="shared" si="30"/>
        <v>0</v>
      </c>
      <c r="P116" s="505">
        <f t="shared" si="31"/>
        <v>0</v>
      </c>
      <c r="Q116" s="244"/>
      <c r="R116" s="244"/>
      <c r="S116" s="244"/>
      <c r="T116" s="244"/>
      <c r="U116" s="244"/>
    </row>
    <row r="117" spans="2:21" ht="12.5">
      <c r="B117" s="145" t="str">
        <f t="shared" si="26"/>
        <v/>
      </c>
      <c r="C117" s="496">
        <f>IF(D94="","-",+C116+1)</f>
        <v>2028</v>
      </c>
      <c r="D117" s="350">
        <f>IF(F116+SUM(E$100:E116)=D$93,F116,D$93-SUM(E$100:E116))</f>
        <v>4693886.957279644</v>
      </c>
      <c r="E117" s="510">
        <f>IF(+J97&lt;F116,J97,D117)</f>
        <v>580959.57894736843</v>
      </c>
      <c r="F117" s="511">
        <f t="shared" si="43"/>
        <v>4112927.3783322754</v>
      </c>
      <c r="G117" s="511">
        <f t="shared" si="44"/>
        <v>4403407.1678059595</v>
      </c>
      <c r="H117" s="645">
        <f t="shared" si="45"/>
        <v>1063723.4257780896</v>
      </c>
      <c r="I117" s="573">
        <f t="shared" si="46"/>
        <v>1063723.4257780896</v>
      </c>
      <c r="J117" s="505">
        <f t="shared" si="33"/>
        <v>0</v>
      </c>
      <c r="K117" s="505"/>
      <c r="L117" s="513"/>
      <c r="M117" s="505">
        <f t="shared" si="28"/>
        <v>0</v>
      </c>
      <c r="N117" s="513"/>
      <c r="O117" s="505">
        <f t="shared" si="30"/>
        <v>0</v>
      </c>
      <c r="P117" s="505">
        <f t="shared" si="31"/>
        <v>0</v>
      </c>
      <c r="Q117" s="244"/>
      <c r="R117" s="244"/>
      <c r="S117" s="244"/>
      <c r="T117" s="244"/>
      <c r="U117" s="244"/>
    </row>
    <row r="118" spans="2:21" ht="12.5">
      <c r="B118" s="145" t="str">
        <f t="shared" si="26"/>
        <v/>
      </c>
      <c r="C118" s="496">
        <f>IF(D94="","-",+C117+1)</f>
        <v>2029</v>
      </c>
      <c r="D118" s="350">
        <f>IF(F117+SUM(E$100:E117)=D$93,F117,D$93-SUM(E$100:E117))</f>
        <v>4112927.3783322754</v>
      </c>
      <c r="E118" s="510">
        <f>IF(+J97&lt;F117,J97,D118)</f>
        <v>580959.57894736843</v>
      </c>
      <c r="F118" s="511">
        <f t="shared" si="43"/>
        <v>3531967.7993849069</v>
      </c>
      <c r="G118" s="511">
        <f t="shared" si="44"/>
        <v>3822447.5888585914</v>
      </c>
      <c r="H118" s="645">
        <f t="shared" si="45"/>
        <v>1000030.4102340529</v>
      </c>
      <c r="I118" s="573">
        <f t="shared" si="46"/>
        <v>1000030.4102340529</v>
      </c>
      <c r="J118" s="505">
        <f t="shared" si="33"/>
        <v>0</v>
      </c>
      <c r="K118" s="505"/>
      <c r="L118" s="513"/>
      <c r="M118" s="505">
        <f t="shared" si="28"/>
        <v>0</v>
      </c>
      <c r="N118" s="513"/>
      <c r="O118" s="505">
        <f t="shared" si="30"/>
        <v>0</v>
      </c>
      <c r="P118" s="505">
        <f t="shared" si="31"/>
        <v>0</v>
      </c>
      <c r="Q118" s="244"/>
      <c r="R118" s="244"/>
      <c r="S118" s="244"/>
      <c r="T118" s="244"/>
      <c r="U118" s="244"/>
    </row>
    <row r="119" spans="2:21" ht="12.5">
      <c r="B119" s="145" t="str">
        <f t="shared" si="26"/>
        <v/>
      </c>
      <c r="C119" s="496">
        <f>IF(D94="","-",+C118+1)</f>
        <v>2030</v>
      </c>
      <c r="D119" s="350">
        <f>IF(F118+SUM(E$100:E118)=D$93,F118,D$93-SUM(E$100:E118))</f>
        <v>3531967.7993849069</v>
      </c>
      <c r="E119" s="510">
        <f>IF(+J97&lt;F118,J97,D119)</f>
        <v>580959.57894736843</v>
      </c>
      <c r="F119" s="511">
        <f t="shared" si="43"/>
        <v>2951008.2204375383</v>
      </c>
      <c r="G119" s="511">
        <f t="shared" si="44"/>
        <v>3241488.0099112224</v>
      </c>
      <c r="H119" s="645">
        <f t="shared" si="45"/>
        <v>936337.39469001617</v>
      </c>
      <c r="I119" s="573">
        <f t="shared" si="46"/>
        <v>936337.39469001617</v>
      </c>
      <c r="J119" s="505">
        <f t="shared" si="33"/>
        <v>0</v>
      </c>
      <c r="K119" s="505"/>
      <c r="L119" s="513"/>
      <c r="M119" s="505">
        <f t="shared" si="28"/>
        <v>0</v>
      </c>
      <c r="N119" s="513"/>
      <c r="O119" s="505">
        <f t="shared" si="30"/>
        <v>0</v>
      </c>
      <c r="P119" s="505">
        <f t="shared" si="31"/>
        <v>0</v>
      </c>
      <c r="Q119" s="244"/>
      <c r="R119" s="244"/>
      <c r="S119" s="244"/>
      <c r="T119" s="244"/>
      <c r="U119" s="244"/>
    </row>
    <row r="120" spans="2:21" ht="12.5">
      <c r="B120" s="145" t="str">
        <f t="shared" si="26"/>
        <v/>
      </c>
      <c r="C120" s="496">
        <f>IF(D94="","-",+C119+1)</f>
        <v>2031</v>
      </c>
      <c r="D120" s="350">
        <f>IF(F119+SUM(E$100:E119)=D$93,F119,D$93-SUM(E$100:E119))</f>
        <v>2951008.2204375383</v>
      </c>
      <c r="E120" s="510">
        <f>IF(+J97&lt;F119,J97,D120)</f>
        <v>580959.57894736843</v>
      </c>
      <c r="F120" s="511">
        <f t="shared" si="43"/>
        <v>2370048.6414901698</v>
      </c>
      <c r="G120" s="511">
        <f t="shared" si="44"/>
        <v>2660528.4309638543</v>
      </c>
      <c r="H120" s="645">
        <f t="shared" si="45"/>
        <v>872644.37914597942</v>
      </c>
      <c r="I120" s="573">
        <f t="shared" si="46"/>
        <v>872644.37914597942</v>
      </c>
      <c r="J120" s="505">
        <f t="shared" si="33"/>
        <v>0</v>
      </c>
      <c r="K120" s="505"/>
      <c r="L120" s="513"/>
      <c r="M120" s="505">
        <f t="shared" si="28"/>
        <v>0</v>
      </c>
      <c r="N120" s="513"/>
      <c r="O120" s="505">
        <f t="shared" si="30"/>
        <v>0</v>
      </c>
      <c r="P120" s="505">
        <f t="shared" si="31"/>
        <v>0</v>
      </c>
      <c r="Q120" s="244"/>
      <c r="R120" s="244"/>
      <c r="S120" s="244"/>
      <c r="T120" s="244"/>
      <c r="U120" s="244"/>
    </row>
    <row r="121" spans="2:21" ht="12.5">
      <c r="B121" s="145" t="str">
        <f t="shared" si="26"/>
        <v/>
      </c>
      <c r="C121" s="496">
        <f>IF(D94="","-",+C120+1)</f>
        <v>2032</v>
      </c>
      <c r="D121" s="350">
        <f>IF(F120+SUM(E$100:E120)=D$93,F120,D$93-SUM(E$100:E120))</f>
        <v>2370048.6414901698</v>
      </c>
      <c r="E121" s="510">
        <f>IF(+J97&lt;F120,J97,D121)</f>
        <v>580959.57894736843</v>
      </c>
      <c r="F121" s="511">
        <f t="shared" si="43"/>
        <v>1789089.0625428013</v>
      </c>
      <c r="G121" s="511">
        <f t="shared" si="44"/>
        <v>2079568.8520164855</v>
      </c>
      <c r="H121" s="645">
        <f t="shared" si="45"/>
        <v>808951.36360194278</v>
      </c>
      <c r="I121" s="573">
        <f t="shared" si="46"/>
        <v>808951.36360194278</v>
      </c>
      <c r="J121" s="505">
        <f t="shared" si="33"/>
        <v>0</v>
      </c>
      <c r="K121" s="505"/>
      <c r="L121" s="513"/>
      <c r="M121" s="505">
        <f t="shared" si="28"/>
        <v>0</v>
      </c>
      <c r="N121" s="513"/>
      <c r="O121" s="505">
        <f t="shared" si="30"/>
        <v>0</v>
      </c>
      <c r="P121" s="505">
        <f t="shared" si="31"/>
        <v>0</v>
      </c>
      <c r="Q121" s="244"/>
      <c r="R121" s="244"/>
      <c r="S121" s="244"/>
      <c r="T121" s="244"/>
      <c r="U121" s="244"/>
    </row>
    <row r="122" spans="2:21" ht="12.5">
      <c r="B122" s="145" t="str">
        <f t="shared" si="26"/>
        <v/>
      </c>
      <c r="C122" s="496">
        <f>IF(D94="","-",+C121+1)</f>
        <v>2033</v>
      </c>
      <c r="D122" s="350">
        <f>IF(F121+SUM(E$100:E121)=D$93,F121,D$93-SUM(E$100:E121))</f>
        <v>1789089.0625428013</v>
      </c>
      <c r="E122" s="510">
        <f>IF(+J97&lt;F121,J97,D122)</f>
        <v>580959.57894736843</v>
      </c>
      <c r="F122" s="511">
        <f t="shared" si="43"/>
        <v>1208129.4835954327</v>
      </c>
      <c r="G122" s="511">
        <f t="shared" si="44"/>
        <v>1498609.273069117</v>
      </c>
      <c r="H122" s="645">
        <f t="shared" si="45"/>
        <v>745258.34805790603</v>
      </c>
      <c r="I122" s="573">
        <f t="shared" si="46"/>
        <v>745258.34805790603</v>
      </c>
      <c r="J122" s="505">
        <f t="shared" si="33"/>
        <v>0</v>
      </c>
      <c r="K122" s="505"/>
      <c r="L122" s="513"/>
      <c r="M122" s="505">
        <f t="shared" si="28"/>
        <v>0</v>
      </c>
      <c r="N122" s="513"/>
      <c r="O122" s="505">
        <f t="shared" si="30"/>
        <v>0</v>
      </c>
      <c r="P122" s="505">
        <f t="shared" si="31"/>
        <v>0</v>
      </c>
      <c r="Q122" s="244"/>
      <c r="R122" s="244"/>
      <c r="S122" s="244"/>
      <c r="T122" s="244"/>
      <c r="U122" s="244"/>
    </row>
    <row r="123" spans="2:21" ht="12.5">
      <c r="B123" s="145" t="str">
        <f t="shared" si="26"/>
        <v/>
      </c>
      <c r="C123" s="496">
        <f>IF(D94="","-",+C122+1)</f>
        <v>2034</v>
      </c>
      <c r="D123" s="350">
        <f>IF(F122+SUM(E$100:E122)=D$93,F122,D$93-SUM(E$100:E122))</f>
        <v>1208129.4835954327</v>
      </c>
      <c r="E123" s="510">
        <f>IF(+J97&lt;F122,J97,D123)</f>
        <v>580959.57894736843</v>
      </c>
      <c r="F123" s="511">
        <f t="shared" si="43"/>
        <v>627169.90464806429</v>
      </c>
      <c r="G123" s="511">
        <f t="shared" si="44"/>
        <v>917649.69412174844</v>
      </c>
      <c r="H123" s="645">
        <f t="shared" si="45"/>
        <v>681565.33251386927</v>
      </c>
      <c r="I123" s="573">
        <f t="shared" si="46"/>
        <v>681565.33251386927</v>
      </c>
      <c r="J123" s="505">
        <f t="shared" si="33"/>
        <v>0</v>
      </c>
      <c r="K123" s="505"/>
      <c r="L123" s="513"/>
      <c r="M123" s="505">
        <f t="shared" si="28"/>
        <v>0</v>
      </c>
      <c r="N123" s="513"/>
      <c r="O123" s="505">
        <f t="shared" si="30"/>
        <v>0</v>
      </c>
      <c r="P123" s="505">
        <f t="shared" si="31"/>
        <v>0</v>
      </c>
      <c r="Q123" s="244"/>
      <c r="R123" s="244"/>
      <c r="S123" s="244"/>
      <c r="T123" s="244"/>
      <c r="U123" s="244"/>
    </row>
    <row r="124" spans="2:21" ht="12.5">
      <c r="B124" s="145" t="str">
        <f t="shared" si="26"/>
        <v/>
      </c>
      <c r="C124" s="496">
        <f>IF(D94="","-",+C123+1)</f>
        <v>2035</v>
      </c>
      <c r="D124" s="350">
        <f>IF(F123+SUM(E$100:E123)=D$93,F123,D$93-SUM(E$100:E123))</f>
        <v>627169.90464806429</v>
      </c>
      <c r="E124" s="510">
        <f>IF(+J97&lt;F123,J97,D124)</f>
        <v>580959.57894736843</v>
      </c>
      <c r="F124" s="511">
        <f t="shared" si="43"/>
        <v>46210.325700695859</v>
      </c>
      <c r="G124" s="511">
        <f t="shared" si="44"/>
        <v>336690.11517438007</v>
      </c>
      <c r="H124" s="645">
        <f t="shared" si="45"/>
        <v>617872.31696983264</v>
      </c>
      <c r="I124" s="573">
        <f t="shared" si="46"/>
        <v>617872.31696983264</v>
      </c>
      <c r="J124" s="505">
        <f t="shared" si="33"/>
        <v>0</v>
      </c>
      <c r="K124" s="505"/>
      <c r="L124" s="513"/>
      <c r="M124" s="505">
        <f t="shared" si="28"/>
        <v>0</v>
      </c>
      <c r="N124" s="513"/>
      <c r="O124" s="505">
        <f t="shared" si="30"/>
        <v>0</v>
      </c>
      <c r="P124" s="505">
        <f t="shared" si="31"/>
        <v>0</v>
      </c>
      <c r="Q124" s="244"/>
      <c r="R124" s="244"/>
      <c r="S124" s="244"/>
      <c r="T124" s="244"/>
      <c r="U124" s="244"/>
    </row>
    <row r="125" spans="2:21" ht="12.5">
      <c r="B125" s="145" t="str">
        <f t="shared" si="26"/>
        <v/>
      </c>
      <c r="C125" s="496">
        <f>IF(D94="","-",+C124+1)</f>
        <v>2036</v>
      </c>
      <c r="D125" s="350">
        <f>IF(F124+SUM(E$100:E124)=D$93,F124,D$93-SUM(E$100:E124))</f>
        <v>46210.325700695859</v>
      </c>
      <c r="E125" s="510">
        <f>IF(+J97&lt;F124,J97,D125)</f>
        <v>46210.325700695859</v>
      </c>
      <c r="F125" s="511">
        <f t="shared" si="43"/>
        <v>0</v>
      </c>
      <c r="G125" s="511">
        <f t="shared" si="44"/>
        <v>23105.16285034793</v>
      </c>
      <c r="H125" s="645">
        <f t="shared" si="45"/>
        <v>48743.440825918762</v>
      </c>
      <c r="I125" s="573">
        <f t="shared" si="46"/>
        <v>48743.440825918762</v>
      </c>
      <c r="J125" s="505">
        <f t="shared" si="33"/>
        <v>0</v>
      </c>
      <c r="K125" s="505"/>
      <c r="L125" s="513"/>
      <c r="M125" s="505">
        <f t="shared" si="28"/>
        <v>0</v>
      </c>
      <c r="N125" s="513"/>
      <c r="O125" s="505">
        <f t="shared" si="30"/>
        <v>0</v>
      </c>
      <c r="P125" s="505">
        <f t="shared" si="31"/>
        <v>0</v>
      </c>
      <c r="Q125" s="244"/>
      <c r="R125" s="244"/>
      <c r="S125" s="244"/>
      <c r="T125" s="244"/>
      <c r="U125" s="244"/>
    </row>
    <row r="126" spans="2:21" ht="12.5">
      <c r="B126" s="145" t="str">
        <f t="shared" si="26"/>
        <v/>
      </c>
      <c r="C126" s="496">
        <f>IF(D94="","-",+C125+1)</f>
        <v>2037</v>
      </c>
      <c r="D126" s="350">
        <f>IF(F125+SUM(E$100:E125)=D$93,F125,D$93-SUM(E$100:E125))</f>
        <v>0</v>
      </c>
      <c r="E126" s="510">
        <f>IF(+J97&lt;F125,J97,D126)</f>
        <v>0</v>
      </c>
      <c r="F126" s="511">
        <f t="shared" si="43"/>
        <v>0</v>
      </c>
      <c r="G126" s="511">
        <f t="shared" si="44"/>
        <v>0</v>
      </c>
      <c r="H126" s="645">
        <f t="shared" si="45"/>
        <v>0</v>
      </c>
      <c r="I126" s="573">
        <f t="shared" si="46"/>
        <v>0</v>
      </c>
      <c r="J126" s="505">
        <f t="shared" si="33"/>
        <v>0</v>
      </c>
      <c r="K126" s="505"/>
      <c r="L126" s="513"/>
      <c r="M126" s="505">
        <f t="shared" si="28"/>
        <v>0</v>
      </c>
      <c r="N126" s="513"/>
      <c r="O126" s="505">
        <f t="shared" si="30"/>
        <v>0</v>
      </c>
      <c r="P126" s="505">
        <f t="shared" si="31"/>
        <v>0</v>
      </c>
      <c r="Q126" s="244"/>
      <c r="R126" s="244"/>
      <c r="S126" s="244"/>
      <c r="T126" s="244"/>
      <c r="U126" s="244"/>
    </row>
    <row r="127" spans="2:21" ht="12.5">
      <c r="B127" s="145" t="str">
        <f t="shared" si="26"/>
        <v/>
      </c>
      <c r="C127" s="496">
        <f>IF(D94="","-",+C126+1)</f>
        <v>2038</v>
      </c>
      <c r="D127" s="350">
        <f>IF(F126+SUM(E$100:E126)=D$93,F126,D$93-SUM(E$100:E126))</f>
        <v>0</v>
      </c>
      <c r="E127" s="510">
        <f>IF(+J97&lt;F126,J97,D127)</f>
        <v>0</v>
      </c>
      <c r="F127" s="511">
        <f t="shared" si="43"/>
        <v>0</v>
      </c>
      <c r="G127" s="511">
        <f t="shared" si="44"/>
        <v>0</v>
      </c>
      <c r="H127" s="645">
        <f t="shared" si="45"/>
        <v>0</v>
      </c>
      <c r="I127" s="573">
        <f t="shared" si="46"/>
        <v>0</v>
      </c>
      <c r="J127" s="505">
        <f t="shared" si="33"/>
        <v>0</v>
      </c>
      <c r="K127" s="505"/>
      <c r="L127" s="513"/>
      <c r="M127" s="505">
        <f t="shared" si="28"/>
        <v>0</v>
      </c>
      <c r="N127" s="513"/>
      <c r="O127" s="505">
        <f t="shared" si="30"/>
        <v>0</v>
      </c>
      <c r="P127" s="505">
        <f t="shared" si="31"/>
        <v>0</v>
      </c>
      <c r="Q127" s="244"/>
      <c r="R127" s="244"/>
      <c r="S127" s="244"/>
      <c r="T127" s="244"/>
      <c r="U127" s="244"/>
    </row>
    <row r="128" spans="2:21" ht="12.5">
      <c r="B128" s="145" t="str">
        <f t="shared" si="26"/>
        <v/>
      </c>
      <c r="C128" s="496">
        <f>IF(D94="","-",+C127+1)</f>
        <v>2039</v>
      </c>
      <c r="D128" s="350">
        <f>IF(F127+SUM(E$100:E127)=D$93,F127,D$93-SUM(E$100:E127))</f>
        <v>0</v>
      </c>
      <c r="E128" s="510">
        <f>IF(+J97&lt;F127,J97,D128)</f>
        <v>0</v>
      </c>
      <c r="F128" s="511">
        <f t="shared" si="43"/>
        <v>0</v>
      </c>
      <c r="G128" s="511">
        <f t="shared" si="44"/>
        <v>0</v>
      </c>
      <c r="H128" s="645">
        <f t="shared" si="45"/>
        <v>0</v>
      </c>
      <c r="I128" s="573">
        <f t="shared" si="46"/>
        <v>0</v>
      </c>
      <c r="J128" s="505">
        <f t="shared" si="33"/>
        <v>0</v>
      </c>
      <c r="K128" s="505"/>
      <c r="L128" s="513"/>
      <c r="M128" s="505">
        <f t="shared" si="28"/>
        <v>0</v>
      </c>
      <c r="N128" s="513"/>
      <c r="O128" s="505">
        <f t="shared" si="30"/>
        <v>0</v>
      </c>
      <c r="P128" s="505">
        <f t="shared" si="31"/>
        <v>0</v>
      </c>
      <c r="Q128" s="244"/>
      <c r="R128" s="244"/>
      <c r="S128" s="244"/>
      <c r="T128" s="244"/>
      <c r="U128" s="244"/>
    </row>
    <row r="129" spans="2:21" ht="12.5">
      <c r="B129" s="145" t="str">
        <f t="shared" si="26"/>
        <v/>
      </c>
      <c r="C129" s="496">
        <f>IF(D94="","-",+C128+1)</f>
        <v>2040</v>
      </c>
      <c r="D129" s="350">
        <f>IF(F128+SUM(E$100:E128)=D$93,F128,D$93-SUM(E$100:E128))</f>
        <v>0</v>
      </c>
      <c r="E129" s="510">
        <f>IF(+J97&lt;F128,J97,D129)</f>
        <v>0</v>
      </c>
      <c r="F129" s="511">
        <f t="shared" si="43"/>
        <v>0</v>
      </c>
      <c r="G129" s="511">
        <f t="shared" si="44"/>
        <v>0</v>
      </c>
      <c r="H129" s="645">
        <f t="shared" si="45"/>
        <v>0</v>
      </c>
      <c r="I129" s="573">
        <f t="shared" si="46"/>
        <v>0</v>
      </c>
      <c r="J129" s="505">
        <f t="shared" si="33"/>
        <v>0</v>
      </c>
      <c r="K129" s="505"/>
      <c r="L129" s="513"/>
      <c r="M129" s="505">
        <f t="shared" si="28"/>
        <v>0</v>
      </c>
      <c r="N129" s="513"/>
      <c r="O129" s="505">
        <f t="shared" si="30"/>
        <v>0</v>
      </c>
      <c r="P129" s="505">
        <f t="shared" si="31"/>
        <v>0</v>
      </c>
      <c r="Q129" s="244"/>
      <c r="R129" s="244"/>
      <c r="S129" s="244"/>
      <c r="T129" s="244"/>
      <c r="U129" s="244"/>
    </row>
    <row r="130" spans="2:21" ht="12.5">
      <c r="B130" s="145" t="str">
        <f t="shared" si="26"/>
        <v/>
      </c>
      <c r="C130" s="496">
        <f>IF(D94="","-",+C129+1)</f>
        <v>2041</v>
      </c>
      <c r="D130" s="350">
        <f>IF(F129+SUM(E$100:E129)=D$93,F129,D$93-SUM(E$100:E129))</f>
        <v>0</v>
      </c>
      <c r="E130" s="510">
        <f>IF(+J97&lt;F129,J97,D130)</f>
        <v>0</v>
      </c>
      <c r="F130" s="511">
        <f t="shared" si="43"/>
        <v>0</v>
      </c>
      <c r="G130" s="511">
        <f t="shared" si="44"/>
        <v>0</v>
      </c>
      <c r="H130" s="645">
        <f t="shared" si="45"/>
        <v>0</v>
      </c>
      <c r="I130" s="573">
        <f t="shared" si="46"/>
        <v>0</v>
      </c>
      <c r="J130" s="505">
        <f t="shared" si="33"/>
        <v>0</v>
      </c>
      <c r="K130" s="505"/>
      <c r="L130" s="513"/>
      <c r="M130" s="505">
        <f t="shared" si="28"/>
        <v>0</v>
      </c>
      <c r="N130" s="513"/>
      <c r="O130" s="505">
        <f t="shared" si="30"/>
        <v>0</v>
      </c>
      <c r="P130" s="505">
        <f t="shared" si="31"/>
        <v>0</v>
      </c>
      <c r="Q130" s="244"/>
      <c r="R130" s="244"/>
      <c r="S130" s="244"/>
      <c r="T130" s="244"/>
      <c r="U130" s="244"/>
    </row>
    <row r="131" spans="2:21" ht="12.5">
      <c r="B131" s="145" t="str">
        <f t="shared" si="26"/>
        <v/>
      </c>
      <c r="C131" s="496">
        <f>IF(D94="","-",+C130+1)</f>
        <v>2042</v>
      </c>
      <c r="D131" s="350">
        <f>IF(F130+SUM(E$100:E130)=D$93,F130,D$93-SUM(E$100:E130))</f>
        <v>0</v>
      </c>
      <c r="E131" s="510">
        <f>IF(+J97&lt;F130,J97,D131)</f>
        <v>0</v>
      </c>
      <c r="F131" s="511">
        <f t="shared" si="43"/>
        <v>0</v>
      </c>
      <c r="G131" s="511">
        <f t="shared" si="44"/>
        <v>0</v>
      </c>
      <c r="H131" s="645">
        <f t="shared" si="45"/>
        <v>0</v>
      </c>
      <c r="I131" s="573">
        <f t="shared" si="46"/>
        <v>0</v>
      </c>
      <c r="J131" s="505">
        <f t="shared" si="33"/>
        <v>0</v>
      </c>
      <c r="K131" s="505"/>
      <c r="L131" s="513"/>
      <c r="M131" s="505">
        <f t="shared" si="28"/>
        <v>0</v>
      </c>
      <c r="N131" s="513"/>
      <c r="O131" s="505">
        <f t="shared" si="30"/>
        <v>0</v>
      </c>
      <c r="P131" s="505">
        <f t="shared" si="31"/>
        <v>0</v>
      </c>
      <c r="Q131" s="244"/>
      <c r="R131" s="244"/>
      <c r="S131" s="244"/>
      <c r="T131" s="244"/>
      <c r="U131" s="244"/>
    </row>
    <row r="132" spans="2:21" ht="12.5">
      <c r="B132" s="145" t="str">
        <f t="shared" ref="B132:B155" si="47">IF(D132=F131,"","IU")</f>
        <v/>
      </c>
      <c r="C132" s="496">
        <f>IF(D94="","-",+C131+1)</f>
        <v>2043</v>
      </c>
      <c r="D132" s="350">
        <f>IF(F131+SUM(E$100:E131)=D$93,F131,D$93-SUM(E$100:E131))</f>
        <v>0</v>
      </c>
      <c r="E132" s="510">
        <f>IF(+J97&lt;F131,J97,D132)</f>
        <v>0</v>
      </c>
      <c r="F132" s="511">
        <f t="shared" si="43"/>
        <v>0</v>
      </c>
      <c r="G132" s="511">
        <f t="shared" ref="G132:G155" si="48">+(F132+D132)/2</f>
        <v>0</v>
      </c>
      <c r="H132" s="645">
        <f t="shared" si="45"/>
        <v>0</v>
      </c>
      <c r="I132" s="573">
        <f t="shared" ref="I132:I155" si="49">+J$96*G132+E132</f>
        <v>0</v>
      </c>
      <c r="J132" s="505">
        <f t="shared" ref="J132:J155" si="50">+I132-H132</f>
        <v>0</v>
      </c>
      <c r="K132" s="505"/>
      <c r="L132" s="513"/>
      <c r="M132" s="505">
        <f t="shared" ref="M132:M155" si="51">IF(L132&lt;&gt;0,+H132-L132,0)</f>
        <v>0</v>
      </c>
      <c r="N132" s="513"/>
      <c r="O132" s="505">
        <f t="shared" ref="O132:O155" si="52">IF(N132&lt;&gt;0,+I132-N132,0)</f>
        <v>0</v>
      </c>
      <c r="P132" s="505">
        <f t="shared" ref="P132:P155" si="53">+O132-M132</f>
        <v>0</v>
      </c>
      <c r="Q132" s="244"/>
      <c r="R132" s="244"/>
      <c r="S132" s="244"/>
      <c r="T132" s="244"/>
      <c r="U132" s="244"/>
    </row>
    <row r="133" spans="2:21" ht="12.5">
      <c r="B133" s="145" t="str">
        <f t="shared" si="47"/>
        <v/>
      </c>
      <c r="C133" s="496">
        <f>IF(D94="","-",+C132+1)</f>
        <v>2044</v>
      </c>
      <c r="D133" s="350">
        <f>IF(F132+SUM(E$100:E132)=D$93,F132,D$93-SUM(E$100:E132))</f>
        <v>0</v>
      </c>
      <c r="E133" s="510">
        <f>IF(+J97&lt;F132,J97,D133)</f>
        <v>0</v>
      </c>
      <c r="F133" s="511">
        <f t="shared" ref="F133:F155" si="54">+D133-E133</f>
        <v>0</v>
      </c>
      <c r="G133" s="511">
        <f t="shared" si="48"/>
        <v>0</v>
      </c>
      <c r="H133" s="645">
        <f t="shared" si="45"/>
        <v>0</v>
      </c>
      <c r="I133" s="573">
        <f t="shared" si="49"/>
        <v>0</v>
      </c>
      <c r="J133" s="505">
        <f t="shared" si="50"/>
        <v>0</v>
      </c>
      <c r="K133" s="505"/>
      <c r="L133" s="513"/>
      <c r="M133" s="505">
        <f t="shared" si="51"/>
        <v>0</v>
      </c>
      <c r="N133" s="513"/>
      <c r="O133" s="505">
        <f t="shared" si="52"/>
        <v>0</v>
      </c>
      <c r="P133" s="505">
        <f t="shared" si="53"/>
        <v>0</v>
      </c>
      <c r="Q133" s="244"/>
      <c r="R133" s="244"/>
      <c r="S133" s="244"/>
      <c r="T133" s="244"/>
      <c r="U133" s="244"/>
    </row>
    <row r="134" spans="2:21" ht="12.5">
      <c r="B134" s="145" t="str">
        <f t="shared" si="47"/>
        <v/>
      </c>
      <c r="C134" s="496">
        <f>IF(D94="","-",+C133+1)</f>
        <v>2045</v>
      </c>
      <c r="D134" s="350">
        <f>IF(F133+SUM(E$100:E133)=D$93,F133,D$93-SUM(E$100:E133))</f>
        <v>0</v>
      </c>
      <c r="E134" s="510">
        <f>IF(+J97&lt;F133,J97,D134)</f>
        <v>0</v>
      </c>
      <c r="F134" s="511">
        <f t="shared" si="54"/>
        <v>0</v>
      </c>
      <c r="G134" s="511">
        <f t="shared" si="48"/>
        <v>0</v>
      </c>
      <c r="H134" s="645">
        <f t="shared" si="45"/>
        <v>0</v>
      </c>
      <c r="I134" s="573">
        <f t="shared" si="49"/>
        <v>0</v>
      </c>
      <c r="J134" s="505">
        <f t="shared" si="50"/>
        <v>0</v>
      </c>
      <c r="K134" s="505"/>
      <c r="L134" s="513"/>
      <c r="M134" s="505">
        <f t="shared" si="51"/>
        <v>0</v>
      </c>
      <c r="N134" s="513"/>
      <c r="O134" s="505">
        <f t="shared" si="52"/>
        <v>0</v>
      </c>
      <c r="P134" s="505">
        <f t="shared" si="53"/>
        <v>0</v>
      </c>
      <c r="Q134" s="244"/>
      <c r="R134" s="244"/>
      <c r="S134" s="244"/>
      <c r="T134" s="244"/>
      <c r="U134" s="244"/>
    </row>
    <row r="135" spans="2:21" ht="12.5">
      <c r="B135" s="145" t="str">
        <f t="shared" si="47"/>
        <v/>
      </c>
      <c r="C135" s="496">
        <f>IF(D94="","-",+C134+1)</f>
        <v>2046</v>
      </c>
      <c r="D135" s="350">
        <f>IF(F134+SUM(E$100:E134)=D$93,F134,D$93-SUM(E$100:E134))</f>
        <v>0</v>
      </c>
      <c r="E135" s="510">
        <f>IF(+J97&lt;F134,J97,D135)</f>
        <v>0</v>
      </c>
      <c r="F135" s="511">
        <f t="shared" si="54"/>
        <v>0</v>
      </c>
      <c r="G135" s="511">
        <f t="shared" si="48"/>
        <v>0</v>
      </c>
      <c r="H135" s="645">
        <f t="shared" si="45"/>
        <v>0</v>
      </c>
      <c r="I135" s="573">
        <f t="shared" si="49"/>
        <v>0</v>
      </c>
      <c r="J135" s="505">
        <f t="shared" si="50"/>
        <v>0</v>
      </c>
      <c r="K135" s="505"/>
      <c r="L135" s="513"/>
      <c r="M135" s="505">
        <f t="shared" si="51"/>
        <v>0</v>
      </c>
      <c r="N135" s="513"/>
      <c r="O135" s="505">
        <f t="shared" si="52"/>
        <v>0</v>
      </c>
      <c r="P135" s="505">
        <f t="shared" si="53"/>
        <v>0</v>
      </c>
      <c r="Q135" s="244"/>
      <c r="R135" s="244"/>
      <c r="S135" s="244"/>
      <c r="T135" s="244"/>
      <c r="U135" s="244"/>
    </row>
    <row r="136" spans="2:21" ht="12.5">
      <c r="B136" s="145" t="str">
        <f t="shared" si="47"/>
        <v/>
      </c>
      <c r="C136" s="496">
        <f>IF(D94="","-",+C135+1)</f>
        <v>2047</v>
      </c>
      <c r="D136" s="350">
        <f>IF(F135+SUM(E$100:E135)=D$93,F135,D$93-SUM(E$100:E135))</f>
        <v>0</v>
      </c>
      <c r="E136" s="510">
        <f>IF(+J97&lt;F135,J97,D136)</f>
        <v>0</v>
      </c>
      <c r="F136" s="511">
        <f t="shared" si="54"/>
        <v>0</v>
      </c>
      <c r="G136" s="511">
        <f t="shared" si="48"/>
        <v>0</v>
      </c>
      <c r="H136" s="645">
        <f t="shared" si="45"/>
        <v>0</v>
      </c>
      <c r="I136" s="573">
        <f t="shared" si="49"/>
        <v>0</v>
      </c>
      <c r="J136" s="505">
        <f t="shared" si="50"/>
        <v>0</v>
      </c>
      <c r="K136" s="505"/>
      <c r="L136" s="513"/>
      <c r="M136" s="505">
        <f t="shared" si="51"/>
        <v>0</v>
      </c>
      <c r="N136" s="513"/>
      <c r="O136" s="505">
        <f t="shared" si="52"/>
        <v>0</v>
      </c>
      <c r="P136" s="505">
        <f t="shared" si="53"/>
        <v>0</v>
      </c>
      <c r="Q136" s="244"/>
      <c r="R136" s="244"/>
      <c r="S136" s="244"/>
      <c r="T136" s="244"/>
      <c r="U136" s="244"/>
    </row>
    <row r="137" spans="2:21" ht="12.5">
      <c r="B137" s="145" t="str">
        <f t="shared" si="47"/>
        <v/>
      </c>
      <c r="C137" s="496">
        <f>IF(D94="","-",+C136+1)</f>
        <v>2048</v>
      </c>
      <c r="D137" s="350">
        <f>IF(F136+SUM(E$100:E136)=D$93,F136,D$93-SUM(E$100:E136))</f>
        <v>0</v>
      </c>
      <c r="E137" s="510">
        <f>IF(+J97&lt;F136,J97,D137)</f>
        <v>0</v>
      </c>
      <c r="F137" s="511">
        <f t="shared" si="54"/>
        <v>0</v>
      </c>
      <c r="G137" s="511">
        <f t="shared" si="48"/>
        <v>0</v>
      </c>
      <c r="H137" s="645">
        <f t="shared" si="45"/>
        <v>0</v>
      </c>
      <c r="I137" s="573">
        <f t="shared" si="49"/>
        <v>0</v>
      </c>
      <c r="J137" s="505">
        <f t="shared" si="50"/>
        <v>0</v>
      </c>
      <c r="K137" s="505"/>
      <c r="L137" s="513"/>
      <c r="M137" s="505">
        <f t="shared" si="51"/>
        <v>0</v>
      </c>
      <c r="N137" s="513"/>
      <c r="O137" s="505">
        <f t="shared" si="52"/>
        <v>0</v>
      </c>
      <c r="P137" s="505">
        <f t="shared" si="53"/>
        <v>0</v>
      </c>
      <c r="Q137" s="244"/>
      <c r="R137" s="244"/>
      <c r="S137" s="244"/>
      <c r="T137" s="244"/>
      <c r="U137" s="244"/>
    </row>
    <row r="138" spans="2:21" ht="12.5">
      <c r="B138" s="145" t="str">
        <f t="shared" si="47"/>
        <v/>
      </c>
      <c r="C138" s="496">
        <f>IF(D94="","-",+C137+1)</f>
        <v>2049</v>
      </c>
      <c r="D138" s="350">
        <f>IF(F137+SUM(E$100:E137)=D$93,F137,D$93-SUM(E$100:E137))</f>
        <v>0</v>
      </c>
      <c r="E138" s="510">
        <f>IF(+J97&lt;F137,J97,D138)</f>
        <v>0</v>
      </c>
      <c r="F138" s="511">
        <f t="shared" si="54"/>
        <v>0</v>
      </c>
      <c r="G138" s="511">
        <f t="shared" si="48"/>
        <v>0</v>
      </c>
      <c r="H138" s="645">
        <f t="shared" si="45"/>
        <v>0</v>
      </c>
      <c r="I138" s="573">
        <f t="shared" si="49"/>
        <v>0</v>
      </c>
      <c r="J138" s="505">
        <f t="shared" si="50"/>
        <v>0</v>
      </c>
      <c r="K138" s="505"/>
      <c r="L138" s="513"/>
      <c r="M138" s="505">
        <f t="shared" si="51"/>
        <v>0</v>
      </c>
      <c r="N138" s="513"/>
      <c r="O138" s="505">
        <f t="shared" si="52"/>
        <v>0</v>
      </c>
      <c r="P138" s="505">
        <f t="shared" si="53"/>
        <v>0</v>
      </c>
      <c r="Q138" s="244"/>
      <c r="R138" s="244"/>
      <c r="S138" s="244"/>
      <c r="T138" s="244"/>
      <c r="U138" s="244"/>
    </row>
    <row r="139" spans="2:21" ht="12.5">
      <c r="B139" s="145" t="str">
        <f t="shared" si="47"/>
        <v/>
      </c>
      <c r="C139" s="496">
        <f>IF(D94="","-",+C138+1)</f>
        <v>2050</v>
      </c>
      <c r="D139" s="350">
        <f>IF(F138+SUM(E$100:E138)=D$93,F138,D$93-SUM(E$100:E138))</f>
        <v>0</v>
      </c>
      <c r="E139" s="510">
        <f>IF(+J97&lt;F138,J97,D139)</f>
        <v>0</v>
      </c>
      <c r="F139" s="511">
        <f t="shared" si="54"/>
        <v>0</v>
      </c>
      <c r="G139" s="511">
        <f t="shared" si="48"/>
        <v>0</v>
      </c>
      <c r="H139" s="645">
        <f t="shared" si="45"/>
        <v>0</v>
      </c>
      <c r="I139" s="573">
        <f t="shared" si="49"/>
        <v>0</v>
      </c>
      <c r="J139" s="505">
        <f t="shared" si="50"/>
        <v>0</v>
      </c>
      <c r="K139" s="505"/>
      <c r="L139" s="513"/>
      <c r="M139" s="505">
        <f t="shared" si="51"/>
        <v>0</v>
      </c>
      <c r="N139" s="513"/>
      <c r="O139" s="505">
        <f t="shared" si="52"/>
        <v>0</v>
      </c>
      <c r="P139" s="505">
        <f t="shared" si="53"/>
        <v>0</v>
      </c>
      <c r="Q139" s="244"/>
      <c r="R139" s="244"/>
      <c r="S139" s="244"/>
      <c r="T139" s="244"/>
      <c r="U139" s="244"/>
    </row>
    <row r="140" spans="2:21" ht="12.5">
      <c r="B140" s="145" t="str">
        <f t="shared" si="47"/>
        <v/>
      </c>
      <c r="C140" s="496">
        <f>IF(D94="","-",+C139+1)</f>
        <v>2051</v>
      </c>
      <c r="D140" s="350">
        <f>IF(F139+SUM(E$100:E139)=D$93,F139,D$93-SUM(E$100:E139))</f>
        <v>0</v>
      </c>
      <c r="E140" s="510">
        <f>IF(+J97&lt;F139,J97,D140)</f>
        <v>0</v>
      </c>
      <c r="F140" s="511">
        <f t="shared" si="54"/>
        <v>0</v>
      </c>
      <c r="G140" s="511">
        <f t="shared" si="48"/>
        <v>0</v>
      </c>
      <c r="H140" s="645">
        <f t="shared" si="45"/>
        <v>0</v>
      </c>
      <c r="I140" s="573">
        <f t="shared" si="49"/>
        <v>0</v>
      </c>
      <c r="J140" s="505">
        <f t="shared" si="50"/>
        <v>0</v>
      </c>
      <c r="K140" s="505"/>
      <c r="L140" s="513"/>
      <c r="M140" s="505">
        <f t="shared" si="51"/>
        <v>0</v>
      </c>
      <c r="N140" s="513"/>
      <c r="O140" s="505">
        <f t="shared" si="52"/>
        <v>0</v>
      </c>
      <c r="P140" s="505">
        <f t="shared" si="53"/>
        <v>0</v>
      </c>
      <c r="Q140" s="244"/>
      <c r="R140" s="244"/>
      <c r="S140" s="244"/>
      <c r="T140" s="244"/>
      <c r="U140" s="244"/>
    </row>
    <row r="141" spans="2:21" ht="12.5">
      <c r="B141" s="145" t="str">
        <f t="shared" si="47"/>
        <v/>
      </c>
      <c r="C141" s="496">
        <f>IF(D94="","-",+C140+1)</f>
        <v>2052</v>
      </c>
      <c r="D141" s="350">
        <f>IF(F140+SUM(E$100:E140)=D$93,F140,D$93-SUM(E$100:E140))</f>
        <v>0</v>
      </c>
      <c r="E141" s="510">
        <f>IF(+J97&lt;F140,J97,D141)</f>
        <v>0</v>
      </c>
      <c r="F141" s="511">
        <f t="shared" si="54"/>
        <v>0</v>
      </c>
      <c r="G141" s="511">
        <f t="shared" si="48"/>
        <v>0</v>
      </c>
      <c r="H141" s="645">
        <f t="shared" si="45"/>
        <v>0</v>
      </c>
      <c r="I141" s="573">
        <f t="shared" si="49"/>
        <v>0</v>
      </c>
      <c r="J141" s="505">
        <f t="shared" si="50"/>
        <v>0</v>
      </c>
      <c r="K141" s="505"/>
      <c r="L141" s="513"/>
      <c r="M141" s="505">
        <f t="shared" si="51"/>
        <v>0</v>
      </c>
      <c r="N141" s="513"/>
      <c r="O141" s="505">
        <f t="shared" si="52"/>
        <v>0</v>
      </c>
      <c r="P141" s="505">
        <f t="shared" si="53"/>
        <v>0</v>
      </c>
      <c r="Q141" s="244"/>
      <c r="R141" s="244"/>
      <c r="S141" s="244"/>
      <c r="T141" s="244"/>
      <c r="U141" s="244"/>
    </row>
    <row r="142" spans="2:21" ht="12.5">
      <c r="B142" s="145" t="str">
        <f t="shared" si="47"/>
        <v/>
      </c>
      <c r="C142" s="496">
        <f>IF(D94="","-",+C141+1)</f>
        <v>2053</v>
      </c>
      <c r="D142" s="350">
        <f>IF(F141+SUM(E$100:E141)=D$93,F141,D$93-SUM(E$100:E141))</f>
        <v>0</v>
      </c>
      <c r="E142" s="510">
        <f>IF(+J97&lt;F141,J97,D142)</f>
        <v>0</v>
      </c>
      <c r="F142" s="511">
        <f t="shared" si="54"/>
        <v>0</v>
      </c>
      <c r="G142" s="511">
        <f t="shared" si="48"/>
        <v>0</v>
      </c>
      <c r="H142" s="645">
        <f t="shared" si="45"/>
        <v>0</v>
      </c>
      <c r="I142" s="573">
        <f t="shared" si="49"/>
        <v>0</v>
      </c>
      <c r="J142" s="505">
        <f t="shared" si="50"/>
        <v>0</v>
      </c>
      <c r="K142" s="505"/>
      <c r="L142" s="513"/>
      <c r="M142" s="505">
        <f t="shared" si="51"/>
        <v>0</v>
      </c>
      <c r="N142" s="513"/>
      <c r="O142" s="505">
        <f t="shared" si="52"/>
        <v>0</v>
      </c>
      <c r="P142" s="505">
        <f t="shared" si="53"/>
        <v>0</v>
      </c>
      <c r="Q142" s="244"/>
      <c r="R142" s="244"/>
      <c r="S142" s="244"/>
      <c r="T142" s="244"/>
      <c r="U142" s="244"/>
    </row>
    <row r="143" spans="2:21" ht="12.5">
      <c r="B143" s="145" t="str">
        <f t="shared" si="47"/>
        <v/>
      </c>
      <c r="C143" s="496">
        <f>IF(D94="","-",+C142+1)</f>
        <v>2054</v>
      </c>
      <c r="D143" s="350">
        <f>IF(F142+SUM(E$100:E142)=D$93,F142,D$93-SUM(E$100:E142))</f>
        <v>0</v>
      </c>
      <c r="E143" s="510">
        <f>IF(+J97&lt;F142,J97,D143)</f>
        <v>0</v>
      </c>
      <c r="F143" s="511">
        <f t="shared" si="54"/>
        <v>0</v>
      </c>
      <c r="G143" s="511">
        <f t="shared" si="48"/>
        <v>0</v>
      </c>
      <c r="H143" s="645">
        <f t="shared" si="45"/>
        <v>0</v>
      </c>
      <c r="I143" s="573">
        <f t="shared" si="49"/>
        <v>0</v>
      </c>
      <c r="J143" s="505">
        <f t="shared" si="50"/>
        <v>0</v>
      </c>
      <c r="K143" s="505"/>
      <c r="L143" s="513"/>
      <c r="M143" s="505">
        <f t="shared" si="51"/>
        <v>0</v>
      </c>
      <c r="N143" s="513"/>
      <c r="O143" s="505">
        <f t="shared" si="52"/>
        <v>0</v>
      </c>
      <c r="P143" s="505">
        <f t="shared" si="53"/>
        <v>0</v>
      </c>
      <c r="Q143" s="244"/>
      <c r="R143" s="244"/>
      <c r="S143" s="244"/>
      <c r="T143" s="244"/>
      <c r="U143" s="244"/>
    </row>
    <row r="144" spans="2:21" ht="12.5">
      <c r="B144" s="145" t="str">
        <f t="shared" si="47"/>
        <v/>
      </c>
      <c r="C144" s="496">
        <f>IF(D94="","-",+C143+1)</f>
        <v>2055</v>
      </c>
      <c r="D144" s="350">
        <f>IF(F143+SUM(E$100:E143)=D$93,F143,D$93-SUM(E$100:E143))</f>
        <v>0</v>
      </c>
      <c r="E144" s="510">
        <f>IF(+J97&lt;F143,J97,D144)</f>
        <v>0</v>
      </c>
      <c r="F144" s="511">
        <f t="shared" si="54"/>
        <v>0</v>
      </c>
      <c r="G144" s="511">
        <f t="shared" si="48"/>
        <v>0</v>
      </c>
      <c r="H144" s="645">
        <f t="shared" si="45"/>
        <v>0</v>
      </c>
      <c r="I144" s="573">
        <f t="shared" si="49"/>
        <v>0</v>
      </c>
      <c r="J144" s="505">
        <f t="shared" si="50"/>
        <v>0</v>
      </c>
      <c r="K144" s="505"/>
      <c r="L144" s="513"/>
      <c r="M144" s="505">
        <f t="shared" si="51"/>
        <v>0</v>
      </c>
      <c r="N144" s="513"/>
      <c r="O144" s="505">
        <f t="shared" si="52"/>
        <v>0</v>
      </c>
      <c r="P144" s="505">
        <f t="shared" si="53"/>
        <v>0</v>
      </c>
      <c r="Q144" s="244"/>
      <c r="R144" s="244"/>
      <c r="S144" s="244"/>
      <c r="T144" s="244"/>
      <c r="U144" s="244"/>
    </row>
    <row r="145" spans="2:21" ht="12.5">
      <c r="B145" s="145" t="str">
        <f t="shared" si="47"/>
        <v/>
      </c>
      <c r="C145" s="496">
        <f>IF(D94="","-",+C144+1)</f>
        <v>2056</v>
      </c>
      <c r="D145" s="350">
        <f>IF(F144+SUM(E$100:E144)=D$93,F144,D$93-SUM(E$100:E144))</f>
        <v>0</v>
      </c>
      <c r="E145" s="510">
        <f>IF(+J97&lt;F144,J97,D145)</f>
        <v>0</v>
      </c>
      <c r="F145" s="511">
        <f t="shared" si="54"/>
        <v>0</v>
      </c>
      <c r="G145" s="511">
        <f t="shared" si="48"/>
        <v>0</v>
      </c>
      <c r="H145" s="645">
        <f t="shared" si="45"/>
        <v>0</v>
      </c>
      <c r="I145" s="573">
        <f t="shared" si="49"/>
        <v>0</v>
      </c>
      <c r="J145" s="505">
        <f t="shared" si="50"/>
        <v>0</v>
      </c>
      <c r="K145" s="505"/>
      <c r="L145" s="513"/>
      <c r="M145" s="505">
        <f t="shared" si="51"/>
        <v>0</v>
      </c>
      <c r="N145" s="513"/>
      <c r="O145" s="505">
        <f t="shared" si="52"/>
        <v>0</v>
      </c>
      <c r="P145" s="505">
        <f t="shared" si="53"/>
        <v>0</v>
      </c>
      <c r="Q145" s="244"/>
      <c r="R145" s="244"/>
      <c r="S145" s="244"/>
      <c r="T145" s="244"/>
      <c r="U145" s="244"/>
    </row>
    <row r="146" spans="2:21" ht="12.5">
      <c r="B146" s="145" t="str">
        <f t="shared" si="47"/>
        <v/>
      </c>
      <c r="C146" s="496">
        <f>IF(D94="","-",+C145+1)</f>
        <v>2057</v>
      </c>
      <c r="D146" s="350">
        <f>IF(F145+SUM(E$100:E145)=D$93,F145,D$93-SUM(E$100:E145))</f>
        <v>0</v>
      </c>
      <c r="E146" s="510">
        <f>IF(+J97&lt;F145,J97,D146)</f>
        <v>0</v>
      </c>
      <c r="F146" s="511">
        <f t="shared" si="54"/>
        <v>0</v>
      </c>
      <c r="G146" s="511">
        <f t="shared" si="48"/>
        <v>0</v>
      </c>
      <c r="H146" s="645">
        <f t="shared" si="45"/>
        <v>0</v>
      </c>
      <c r="I146" s="573">
        <f t="shared" si="49"/>
        <v>0</v>
      </c>
      <c r="J146" s="505">
        <f t="shared" si="50"/>
        <v>0</v>
      </c>
      <c r="K146" s="505"/>
      <c r="L146" s="513"/>
      <c r="M146" s="505">
        <f t="shared" si="51"/>
        <v>0</v>
      </c>
      <c r="N146" s="513"/>
      <c r="O146" s="505">
        <f t="shared" si="52"/>
        <v>0</v>
      </c>
      <c r="P146" s="505">
        <f t="shared" si="53"/>
        <v>0</v>
      </c>
      <c r="Q146" s="244"/>
      <c r="R146" s="244"/>
      <c r="S146" s="244"/>
      <c r="T146" s="244"/>
      <c r="U146" s="244"/>
    </row>
    <row r="147" spans="2:21" ht="12.5">
      <c r="B147" s="145" t="str">
        <f t="shared" si="47"/>
        <v/>
      </c>
      <c r="C147" s="496">
        <f>IF(D94="","-",+C146+1)</f>
        <v>2058</v>
      </c>
      <c r="D147" s="350">
        <f>IF(F146+SUM(E$100:E146)=D$93,F146,D$93-SUM(E$100:E146))</f>
        <v>0</v>
      </c>
      <c r="E147" s="510">
        <f>IF(+J97&lt;F146,J97,D147)</f>
        <v>0</v>
      </c>
      <c r="F147" s="511">
        <f t="shared" si="54"/>
        <v>0</v>
      </c>
      <c r="G147" s="511">
        <f t="shared" si="48"/>
        <v>0</v>
      </c>
      <c r="H147" s="645">
        <f t="shared" si="45"/>
        <v>0</v>
      </c>
      <c r="I147" s="573">
        <f t="shared" si="49"/>
        <v>0</v>
      </c>
      <c r="J147" s="505">
        <f t="shared" si="50"/>
        <v>0</v>
      </c>
      <c r="K147" s="505"/>
      <c r="L147" s="513"/>
      <c r="M147" s="505">
        <f t="shared" si="51"/>
        <v>0</v>
      </c>
      <c r="N147" s="513"/>
      <c r="O147" s="505">
        <f t="shared" si="52"/>
        <v>0</v>
      </c>
      <c r="P147" s="505">
        <f t="shared" si="53"/>
        <v>0</v>
      </c>
      <c r="Q147" s="244"/>
      <c r="R147" s="244"/>
      <c r="S147" s="244"/>
      <c r="T147" s="244"/>
      <c r="U147" s="244"/>
    </row>
    <row r="148" spans="2:21" ht="12.5">
      <c r="B148" s="145" t="str">
        <f t="shared" si="47"/>
        <v/>
      </c>
      <c r="C148" s="496">
        <f>IF(D94="","-",+C147+1)</f>
        <v>2059</v>
      </c>
      <c r="D148" s="350">
        <f>IF(F147+SUM(E$100:E147)=D$93,F147,D$93-SUM(E$100:E147))</f>
        <v>0</v>
      </c>
      <c r="E148" s="510">
        <f>IF(+J97&lt;F147,J97,D148)</f>
        <v>0</v>
      </c>
      <c r="F148" s="511">
        <f t="shared" si="54"/>
        <v>0</v>
      </c>
      <c r="G148" s="511">
        <f t="shared" si="48"/>
        <v>0</v>
      </c>
      <c r="H148" s="645">
        <f t="shared" si="45"/>
        <v>0</v>
      </c>
      <c r="I148" s="573">
        <f t="shared" si="49"/>
        <v>0</v>
      </c>
      <c r="J148" s="505">
        <f t="shared" si="50"/>
        <v>0</v>
      </c>
      <c r="K148" s="505"/>
      <c r="L148" s="513"/>
      <c r="M148" s="505">
        <f t="shared" si="51"/>
        <v>0</v>
      </c>
      <c r="N148" s="513"/>
      <c r="O148" s="505">
        <f t="shared" si="52"/>
        <v>0</v>
      </c>
      <c r="P148" s="505">
        <f t="shared" si="53"/>
        <v>0</v>
      </c>
      <c r="Q148" s="244"/>
      <c r="R148" s="244"/>
      <c r="S148" s="244"/>
      <c r="T148" s="244"/>
      <c r="U148" s="244"/>
    </row>
    <row r="149" spans="2:21" ht="12.5">
      <c r="B149" s="145" t="str">
        <f t="shared" si="47"/>
        <v/>
      </c>
      <c r="C149" s="496">
        <f>IF(D94="","-",+C148+1)</f>
        <v>2060</v>
      </c>
      <c r="D149" s="350">
        <f>IF(F148+SUM(E$100:E148)=D$93,F148,D$93-SUM(E$100:E148))</f>
        <v>0</v>
      </c>
      <c r="E149" s="510">
        <f>IF(+J97&lt;F148,J97,D149)</f>
        <v>0</v>
      </c>
      <c r="F149" s="511">
        <f t="shared" si="54"/>
        <v>0</v>
      </c>
      <c r="G149" s="511">
        <f t="shared" si="48"/>
        <v>0</v>
      </c>
      <c r="H149" s="645">
        <f t="shared" si="45"/>
        <v>0</v>
      </c>
      <c r="I149" s="573">
        <f t="shared" si="49"/>
        <v>0</v>
      </c>
      <c r="J149" s="505">
        <f t="shared" si="50"/>
        <v>0</v>
      </c>
      <c r="K149" s="505"/>
      <c r="L149" s="513"/>
      <c r="M149" s="505">
        <f t="shared" si="51"/>
        <v>0</v>
      </c>
      <c r="N149" s="513"/>
      <c r="O149" s="505">
        <f t="shared" si="52"/>
        <v>0</v>
      </c>
      <c r="P149" s="505">
        <f t="shared" si="53"/>
        <v>0</v>
      </c>
      <c r="Q149" s="244"/>
      <c r="R149" s="244"/>
      <c r="S149" s="244"/>
      <c r="T149" s="244"/>
      <c r="U149" s="244"/>
    </row>
    <row r="150" spans="2:21" ht="12.5">
      <c r="B150" s="145" t="str">
        <f t="shared" si="47"/>
        <v/>
      </c>
      <c r="C150" s="496">
        <f>IF(D94="","-",+C149+1)</f>
        <v>2061</v>
      </c>
      <c r="D150" s="350">
        <f>IF(F149+SUM(E$100:E149)=D$93,F149,D$93-SUM(E$100:E149))</f>
        <v>0</v>
      </c>
      <c r="E150" s="510">
        <f>IF(+J97&lt;F149,J97,D150)</f>
        <v>0</v>
      </c>
      <c r="F150" s="511">
        <f t="shared" si="54"/>
        <v>0</v>
      </c>
      <c r="G150" s="511">
        <f t="shared" si="48"/>
        <v>0</v>
      </c>
      <c r="H150" s="645">
        <f t="shared" si="45"/>
        <v>0</v>
      </c>
      <c r="I150" s="573">
        <f t="shared" si="49"/>
        <v>0</v>
      </c>
      <c r="J150" s="505">
        <f t="shared" si="50"/>
        <v>0</v>
      </c>
      <c r="K150" s="505"/>
      <c r="L150" s="513"/>
      <c r="M150" s="505">
        <f t="shared" si="51"/>
        <v>0</v>
      </c>
      <c r="N150" s="513"/>
      <c r="O150" s="505">
        <f t="shared" si="52"/>
        <v>0</v>
      </c>
      <c r="P150" s="505">
        <f t="shared" si="53"/>
        <v>0</v>
      </c>
      <c r="Q150" s="244"/>
      <c r="R150" s="244"/>
      <c r="S150" s="244"/>
      <c r="T150" s="244"/>
      <c r="U150" s="244"/>
    </row>
    <row r="151" spans="2:21" ht="12.5">
      <c r="B151" s="145" t="str">
        <f t="shared" si="47"/>
        <v/>
      </c>
      <c r="C151" s="496">
        <f>IF(D94="","-",+C150+1)</f>
        <v>2062</v>
      </c>
      <c r="D151" s="350">
        <f>IF(F150+SUM(E$100:E150)=D$93,F150,D$93-SUM(E$100:E150))</f>
        <v>0</v>
      </c>
      <c r="E151" s="510">
        <f>IF(+J97&lt;F150,J97,D151)</f>
        <v>0</v>
      </c>
      <c r="F151" s="511">
        <f t="shared" si="54"/>
        <v>0</v>
      </c>
      <c r="G151" s="511">
        <f t="shared" si="48"/>
        <v>0</v>
      </c>
      <c r="H151" s="645">
        <f t="shared" si="45"/>
        <v>0</v>
      </c>
      <c r="I151" s="573">
        <f t="shared" si="49"/>
        <v>0</v>
      </c>
      <c r="J151" s="505">
        <f t="shared" si="50"/>
        <v>0</v>
      </c>
      <c r="K151" s="505"/>
      <c r="L151" s="513"/>
      <c r="M151" s="505">
        <f t="shared" si="51"/>
        <v>0</v>
      </c>
      <c r="N151" s="513"/>
      <c r="O151" s="505">
        <f t="shared" si="52"/>
        <v>0</v>
      </c>
      <c r="P151" s="505">
        <f t="shared" si="53"/>
        <v>0</v>
      </c>
      <c r="Q151" s="244"/>
      <c r="R151" s="244"/>
      <c r="S151" s="244"/>
      <c r="T151" s="244"/>
      <c r="U151" s="244"/>
    </row>
    <row r="152" spans="2:21" ht="12.5">
      <c r="B152" s="145" t="str">
        <f t="shared" si="47"/>
        <v/>
      </c>
      <c r="C152" s="496">
        <f>IF(D94="","-",+C151+1)</f>
        <v>2063</v>
      </c>
      <c r="D152" s="350">
        <f>IF(F151+SUM(E$100:E151)=D$93,F151,D$93-SUM(E$100:E151))</f>
        <v>0</v>
      </c>
      <c r="E152" s="510">
        <f>IF(+J97&lt;F151,J97,D152)</f>
        <v>0</v>
      </c>
      <c r="F152" s="511">
        <f t="shared" si="54"/>
        <v>0</v>
      </c>
      <c r="G152" s="511">
        <f t="shared" si="48"/>
        <v>0</v>
      </c>
      <c r="H152" s="645">
        <f t="shared" si="45"/>
        <v>0</v>
      </c>
      <c r="I152" s="573">
        <f t="shared" si="49"/>
        <v>0</v>
      </c>
      <c r="J152" s="505">
        <f t="shared" si="50"/>
        <v>0</v>
      </c>
      <c r="K152" s="505"/>
      <c r="L152" s="513"/>
      <c r="M152" s="505">
        <f t="shared" si="51"/>
        <v>0</v>
      </c>
      <c r="N152" s="513"/>
      <c r="O152" s="505">
        <f t="shared" si="52"/>
        <v>0</v>
      </c>
      <c r="P152" s="505">
        <f t="shared" si="53"/>
        <v>0</v>
      </c>
      <c r="Q152" s="244"/>
      <c r="R152" s="244"/>
      <c r="S152" s="244"/>
      <c r="T152" s="244"/>
      <c r="U152" s="244"/>
    </row>
    <row r="153" spans="2:21" ht="12.5">
      <c r="B153" s="145" t="str">
        <f t="shared" si="47"/>
        <v/>
      </c>
      <c r="C153" s="496">
        <f>IF(D94="","-",+C152+1)</f>
        <v>2064</v>
      </c>
      <c r="D153" s="350">
        <f>IF(F152+SUM(E$100:E152)=D$93,F152,D$93-SUM(E$100:E152))</f>
        <v>0</v>
      </c>
      <c r="E153" s="510">
        <f>IF(+J97&lt;F152,J97,D153)</f>
        <v>0</v>
      </c>
      <c r="F153" s="511">
        <f t="shared" si="54"/>
        <v>0</v>
      </c>
      <c r="G153" s="511">
        <f t="shared" si="48"/>
        <v>0</v>
      </c>
      <c r="H153" s="645">
        <f t="shared" si="45"/>
        <v>0</v>
      </c>
      <c r="I153" s="573">
        <f t="shared" si="49"/>
        <v>0</v>
      </c>
      <c r="J153" s="505">
        <f t="shared" si="50"/>
        <v>0</v>
      </c>
      <c r="K153" s="505"/>
      <c r="L153" s="513"/>
      <c r="M153" s="505">
        <f t="shared" si="51"/>
        <v>0</v>
      </c>
      <c r="N153" s="513"/>
      <c r="O153" s="505">
        <f t="shared" si="52"/>
        <v>0</v>
      </c>
      <c r="P153" s="505">
        <f t="shared" si="53"/>
        <v>0</v>
      </c>
      <c r="Q153" s="244"/>
      <c r="R153" s="244"/>
      <c r="S153" s="244"/>
      <c r="T153" s="244"/>
      <c r="U153" s="244"/>
    </row>
    <row r="154" spans="2:21" ht="12.5">
      <c r="B154" s="145" t="str">
        <f t="shared" si="47"/>
        <v/>
      </c>
      <c r="C154" s="496">
        <f>IF(D94="","-",+C153+1)</f>
        <v>2065</v>
      </c>
      <c r="D154" s="350">
        <f>IF(F153+SUM(E$100:E153)=D$93,F153,D$93-SUM(E$100:E153))</f>
        <v>0</v>
      </c>
      <c r="E154" s="510">
        <f>IF(+J97&lt;F153,J97,D154)</f>
        <v>0</v>
      </c>
      <c r="F154" s="511">
        <f t="shared" si="54"/>
        <v>0</v>
      </c>
      <c r="G154" s="511">
        <f t="shared" si="48"/>
        <v>0</v>
      </c>
      <c r="H154" s="645">
        <f t="shared" si="45"/>
        <v>0</v>
      </c>
      <c r="I154" s="573">
        <f t="shared" si="49"/>
        <v>0</v>
      </c>
      <c r="J154" s="505">
        <f t="shared" si="50"/>
        <v>0</v>
      </c>
      <c r="K154" s="505"/>
      <c r="L154" s="513"/>
      <c r="M154" s="505">
        <f t="shared" si="51"/>
        <v>0</v>
      </c>
      <c r="N154" s="513"/>
      <c r="O154" s="505">
        <f t="shared" si="52"/>
        <v>0</v>
      </c>
      <c r="P154" s="505">
        <f t="shared" si="53"/>
        <v>0</v>
      </c>
      <c r="Q154" s="244"/>
      <c r="R154" s="244"/>
      <c r="S154" s="244"/>
      <c r="T154" s="244"/>
      <c r="U154" s="244"/>
    </row>
    <row r="155" spans="2:21" ht="13" thickBot="1">
      <c r="B155" s="145" t="str">
        <f t="shared" si="47"/>
        <v/>
      </c>
      <c r="C155" s="525">
        <f>IF(D94="","-",+C154+1)</f>
        <v>2066</v>
      </c>
      <c r="D155" s="528">
        <f>IF(F154+SUM(E$100:E154)=D$93,F154,D$93-SUM(E$100:E154))</f>
        <v>0</v>
      </c>
      <c r="E155" s="527">
        <f>IF(+J97&lt;F154,J97,D155)</f>
        <v>0</v>
      </c>
      <c r="F155" s="528">
        <f t="shared" si="54"/>
        <v>0</v>
      </c>
      <c r="G155" s="528">
        <f t="shared" si="48"/>
        <v>0</v>
      </c>
      <c r="H155" s="645">
        <f t="shared" si="45"/>
        <v>0</v>
      </c>
      <c r="I155" s="574">
        <f t="shared" si="49"/>
        <v>0</v>
      </c>
      <c r="J155" s="532">
        <f t="shared" si="50"/>
        <v>0</v>
      </c>
      <c r="K155" s="505"/>
      <c r="L155" s="531"/>
      <c r="M155" s="532">
        <f t="shared" si="51"/>
        <v>0</v>
      </c>
      <c r="N155" s="531"/>
      <c r="O155" s="532">
        <f t="shared" si="52"/>
        <v>0</v>
      </c>
      <c r="P155" s="532">
        <f t="shared" si="53"/>
        <v>0</v>
      </c>
      <c r="Q155" s="244"/>
      <c r="R155" s="244"/>
      <c r="S155" s="244"/>
      <c r="T155" s="244"/>
      <c r="U155" s="244"/>
    </row>
    <row r="156" spans="2:21" ht="12.5">
      <c r="C156" s="350" t="s">
        <v>75</v>
      </c>
      <c r="D156" s="295"/>
      <c r="E156" s="295">
        <f>SUM(E100:E155)</f>
        <v>11038232.000000002</v>
      </c>
      <c r="F156" s="295"/>
      <c r="G156" s="295"/>
      <c r="H156" s="295">
        <f>SUM(H100:H155)</f>
        <v>28816852.26906015</v>
      </c>
      <c r="I156" s="295">
        <f>SUM(I100:I155)</f>
        <v>28816852.26906015</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53" priority="1" stopIfTrue="1" operator="equal">
      <formula>$I$10</formula>
    </cfRule>
  </conditionalFormatting>
  <conditionalFormatting sqref="C100:C155">
    <cfRule type="cellIs" dxfId="52"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3">
    <tabColor theme="1"/>
  </sheetPr>
  <dimension ref="A1:U163"/>
  <sheetViews>
    <sheetView topLeftCell="A74" zoomScaleNormal="100" zoomScaleSheetLayoutView="90" workbookViewId="0">
      <selection activeCell="D95" sqref="D95"/>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5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0</v>
      </c>
      <c r="P5" s="244"/>
      <c r="R5" s="244"/>
      <c r="S5" s="244"/>
      <c r="T5" s="244"/>
      <c r="U5" s="244"/>
    </row>
    <row r="6" spans="1:21" ht="15.5">
      <c r="C6" s="236"/>
      <c r="D6" s="293"/>
      <c r="E6" s="244"/>
      <c r="F6" s="244"/>
      <c r="G6" s="244"/>
      <c r="H6" s="450"/>
      <c r="I6" s="450"/>
      <c r="J6" s="451"/>
      <c r="K6" s="452" t="s">
        <v>243</v>
      </c>
      <c r="L6" s="453"/>
      <c r="M6" s="279"/>
      <c r="N6" s="454">
        <f>VLOOKUP(I10,C17:I73,6)</f>
        <v>0</v>
      </c>
      <c r="O6" s="244"/>
      <c r="P6" s="244"/>
      <c r="R6" s="244"/>
      <c r="S6" s="244"/>
      <c r="T6" s="244"/>
      <c r="U6" s="244"/>
    </row>
    <row r="7" spans="1:21" ht="13.5" thickBot="1">
      <c r="C7" s="455" t="s">
        <v>46</v>
      </c>
      <c r="D7" s="456" t="s">
        <v>211</v>
      </c>
      <c r="E7" s="244"/>
      <c r="F7" s="244"/>
      <c r="G7" s="244"/>
      <c r="H7" s="326"/>
      <c r="I7" s="326"/>
      <c r="J7" s="295"/>
      <c r="K7" s="457" t="s">
        <v>47</v>
      </c>
      <c r="L7" s="458"/>
      <c r="M7" s="458"/>
      <c r="N7" s="459">
        <f>+N6-N5</f>
        <v>0</v>
      </c>
      <c r="O7" s="244"/>
      <c r="P7" s="244"/>
      <c r="R7" s="244"/>
      <c r="S7" s="244"/>
      <c r="T7" s="244"/>
      <c r="U7" s="244"/>
    </row>
    <row r="8" spans="1:21" ht="13.5" thickBot="1">
      <c r="C8" s="460"/>
      <c r="D8" s="605" t="s">
        <v>209</v>
      </c>
      <c r="E8" s="462"/>
      <c r="F8" s="462"/>
      <c r="G8" s="462"/>
      <c r="H8" s="462"/>
      <c r="I8" s="462"/>
      <c r="J8" s="463"/>
      <c r="K8" s="462"/>
      <c r="L8" s="462"/>
      <c r="M8" s="462"/>
      <c r="N8" s="462"/>
      <c r="O8" s="463"/>
      <c r="P8" s="249"/>
      <c r="R8" s="244"/>
      <c r="S8" s="244"/>
      <c r="T8" s="244"/>
      <c r="U8" s="244"/>
    </row>
    <row r="9" spans="1:21" ht="13.5" thickBot="1">
      <c r="A9" s="152"/>
      <c r="C9" s="464" t="s">
        <v>48</v>
      </c>
      <c r="D9" s="465" t="s">
        <v>204</v>
      </c>
      <c r="E9" s="466"/>
      <c r="F9" s="466"/>
      <c r="G9" s="466"/>
      <c r="H9" s="466"/>
      <c r="I9" s="467"/>
      <c r="J9" s="468"/>
      <c r="O9" s="469"/>
      <c r="P9" s="279"/>
      <c r="R9" s="244"/>
      <c r="S9" s="244"/>
      <c r="T9" s="244"/>
      <c r="U9" s="244"/>
    </row>
    <row r="10" spans="1:21" ht="13">
      <c r="C10" s="470" t="s">
        <v>49</v>
      </c>
      <c r="D10" s="471">
        <v>0</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2012</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4</v>
      </c>
      <c r="E12" s="473" t="s">
        <v>55</v>
      </c>
      <c r="F12" s="409"/>
      <c r="G12" s="221"/>
      <c r="H12" s="221"/>
      <c r="I12" s="477">
        <f>'OKT.WS.F.BPU.ATRR.Projected'!$F$78</f>
        <v>0.11475877389767174</v>
      </c>
      <c r="J12" s="579"/>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0</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49" si="0">IF(D17=F16,"","IU")</f>
        <v>IU</v>
      </c>
      <c r="C17" s="581">
        <f>IF(D11= "","-",D11)</f>
        <v>2012</v>
      </c>
      <c r="D17" s="497">
        <v>3951600</v>
      </c>
      <c r="E17" s="498">
        <v>45573.039110189922</v>
      </c>
      <c r="F17" s="497">
        <v>3906026.9608898102</v>
      </c>
      <c r="G17" s="499">
        <v>423078.95453720703</v>
      </c>
      <c r="H17" s="500">
        <v>423078.95453720703</v>
      </c>
      <c r="I17" s="585">
        <v>0</v>
      </c>
      <c r="J17" s="501"/>
      <c r="K17" s="502">
        <f>G17</f>
        <v>423078.95453720703</v>
      </c>
      <c r="L17" s="503">
        <f t="shared" ref="L17:L49" si="1">IF(K17&lt;&gt;0,+G17-K17,0)</f>
        <v>0</v>
      </c>
      <c r="M17" s="502">
        <f>H17</f>
        <v>423078.95453720703</v>
      </c>
      <c r="N17" s="504">
        <f t="shared" ref="N17:N49" si="2">IF(M17&lt;&gt;0,+H17-M17,0)</f>
        <v>0</v>
      </c>
      <c r="O17" s="505">
        <f t="shared" ref="O17:O49" si="3">+N17-L17</f>
        <v>0</v>
      </c>
      <c r="P17" s="279"/>
      <c r="R17" s="244"/>
      <c r="S17" s="244"/>
      <c r="T17" s="244"/>
      <c r="U17" s="244"/>
    </row>
    <row r="18" spans="2:21" ht="12.5">
      <c r="B18" s="145" t="str">
        <f t="shared" si="0"/>
        <v>IU</v>
      </c>
      <c r="C18" s="496">
        <f>IF(D$11="","-",+C17+1)</f>
        <v>2013</v>
      </c>
      <c r="D18" s="509"/>
      <c r="E18" s="510">
        <f t="shared" ref="E18:E32" si="4">IF(+I$14&lt;F17,I$14,D18)</f>
        <v>0</v>
      </c>
      <c r="F18" s="511">
        <f t="shared" ref="F18:F49" si="5">+D18-E18</f>
        <v>0</v>
      </c>
      <c r="G18" s="512">
        <f t="shared" ref="G18:G73" si="6">(D18+F18)/2*I$12+E18</f>
        <v>0</v>
      </c>
      <c r="H18" s="478">
        <f t="shared" ref="H18:H73" si="7">+(D18+F18)/2*I$13+E18</f>
        <v>0</v>
      </c>
      <c r="I18" s="501">
        <f t="shared" ref="I18:I49" si="8">H18-G18</f>
        <v>0</v>
      </c>
      <c r="J18" s="501"/>
      <c r="K18" s="513"/>
      <c r="L18" s="505">
        <f t="shared" si="1"/>
        <v>0</v>
      </c>
      <c r="M18" s="513"/>
      <c r="N18" s="505">
        <f t="shared" si="2"/>
        <v>0</v>
      </c>
      <c r="O18" s="505">
        <f t="shared" si="3"/>
        <v>0</v>
      </c>
      <c r="P18" s="279"/>
      <c r="R18" s="244"/>
      <c r="S18" s="244"/>
      <c r="T18" s="244"/>
      <c r="U18" s="244"/>
    </row>
    <row r="19" spans="2:21" ht="12.5">
      <c r="B19" s="145" t="str">
        <f t="shared" si="0"/>
        <v/>
      </c>
      <c r="C19" s="496">
        <f>IF(D$11="","-",+C18+1)</f>
        <v>2014</v>
      </c>
      <c r="D19" s="509"/>
      <c r="E19" s="510">
        <f t="shared" si="4"/>
        <v>0</v>
      </c>
      <c r="F19" s="511">
        <f t="shared" si="5"/>
        <v>0</v>
      </c>
      <c r="G19" s="512">
        <f t="shared" si="6"/>
        <v>0</v>
      </c>
      <c r="H19" s="478">
        <f t="shared" si="7"/>
        <v>0</v>
      </c>
      <c r="I19" s="501">
        <f t="shared" si="8"/>
        <v>0</v>
      </c>
      <c r="J19" s="501"/>
      <c r="K19" s="513"/>
      <c r="L19" s="505">
        <f t="shared" si="1"/>
        <v>0</v>
      </c>
      <c r="M19" s="513"/>
      <c r="N19" s="505">
        <f t="shared" si="2"/>
        <v>0</v>
      </c>
      <c r="O19" s="505">
        <f t="shared" si="3"/>
        <v>0</v>
      </c>
      <c r="P19" s="279"/>
      <c r="R19" s="244"/>
      <c r="S19" s="244"/>
      <c r="T19" s="244"/>
      <c r="U19" s="244"/>
    </row>
    <row r="20" spans="2:21" ht="12.5">
      <c r="B20" s="145" t="str">
        <f t="shared" si="0"/>
        <v/>
      </c>
      <c r="C20" s="496">
        <f>IF(D$11="","-",+C19+1)</f>
        <v>2015</v>
      </c>
      <c r="D20" s="509"/>
      <c r="E20" s="510">
        <f t="shared" si="4"/>
        <v>0</v>
      </c>
      <c r="F20" s="511">
        <f t="shared" si="5"/>
        <v>0</v>
      </c>
      <c r="G20" s="512">
        <f t="shared" si="6"/>
        <v>0</v>
      </c>
      <c r="H20" s="478">
        <f t="shared" si="7"/>
        <v>0</v>
      </c>
      <c r="I20" s="501">
        <f t="shared" si="8"/>
        <v>0</v>
      </c>
      <c r="J20" s="501"/>
      <c r="K20" s="513"/>
      <c r="L20" s="505">
        <f t="shared" si="1"/>
        <v>0</v>
      </c>
      <c r="M20" s="513"/>
      <c r="N20" s="505">
        <f t="shared" si="2"/>
        <v>0</v>
      </c>
      <c r="O20" s="505">
        <f t="shared" si="3"/>
        <v>0</v>
      </c>
      <c r="P20" s="279"/>
      <c r="R20" s="244"/>
      <c r="S20" s="244"/>
      <c r="T20" s="244"/>
      <c r="U20" s="244"/>
    </row>
    <row r="21" spans="2:21" ht="12.5">
      <c r="B21" s="145" t="str">
        <f t="shared" si="0"/>
        <v/>
      </c>
      <c r="C21" s="496">
        <f>IF(D12="","-",+C20+1)</f>
        <v>2016</v>
      </c>
      <c r="D21" s="509"/>
      <c r="E21" s="510">
        <f t="shared" si="4"/>
        <v>0</v>
      </c>
      <c r="F21" s="511">
        <f t="shared" si="5"/>
        <v>0</v>
      </c>
      <c r="G21" s="512">
        <f t="shared" si="6"/>
        <v>0</v>
      </c>
      <c r="H21" s="478">
        <f t="shared" si="7"/>
        <v>0</v>
      </c>
      <c r="I21" s="501">
        <f t="shared" si="8"/>
        <v>0</v>
      </c>
      <c r="J21" s="501"/>
      <c r="K21" s="513"/>
      <c r="L21" s="505">
        <f t="shared" si="1"/>
        <v>0</v>
      </c>
      <c r="M21" s="513"/>
      <c r="N21" s="505">
        <f t="shared" si="2"/>
        <v>0</v>
      </c>
      <c r="O21" s="505">
        <f t="shared" si="3"/>
        <v>0</v>
      </c>
      <c r="P21" s="279"/>
      <c r="R21" s="244"/>
      <c r="S21" s="244"/>
      <c r="T21" s="244"/>
      <c r="U21" s="244"/>
    </row>
    <row r="22" spans="2:21" ht="12.5">
      <c r="B22" s="145" t="str">
        <f t="shared" si="0"/>
        <v/>
      </c>
      <c r="C22" s="496">
        <f>IF(D$11="","-",+C21+1)</f>
        <v>2017</v>
      </c>
      <c r="D22" s="509"/>
      <c r="E22" s="510">
        <f t="shared" si="4"/>
        <v>0</v>
      </c>
      <c r="F22" s="511">
        <f t="shared" si="5"/>
        <v>0</v>
      </c>
      <c r="G22" s="512">
        <f t="shared" si="6"/>
        <v>0</v>
      </c>
      <c r="H22" s="478">
        <f t="shared" si="7"/>
        <v>0</v>
      </c>
      <c r="I22" s="501">
        <f t="shared" si="8"/>
        <v>0</v>
      </c>
      <c r="J22" s="501"/>
      <c r="K22" s="513"/>
      <c r="L22" s="505">
        <f t="shared" si="1"/>
        <v>0</v>
      </c>
      <c r="M22" s="513"/>
      <c r="N22" s="505">
        <f t="shared" si="2"/>
        <v>0</v>
      </c>
      <c r="O22" s="505">
        <f t="shared" si="3"/>
        <v>0</v>
      </c>
      <c r="P22" s="279"/>
      <c r="R22" s="244"/>
      <c r="S22" s="244"/>
      <c r="T22" s="244"/>
      <c r="U22" s="244"/>
    </row>
    <row r="23" spans="2:21" ht="12.5">
      <c r="B23" s="145" t="str">
        <f t="shared" si="0"/>
        <v/>
      </c>
      <c r="C23" s="496">
        <f>IF(D$11="","-",+C22+1)</f>
        <v>2018</v>
      </c>
      <c r="D23" s="509"/>
      <c r="E23" s="510">
        <f t="shared" si="4"/>
        <v>0</v>
      </c>
      <c r="F23" s="511">
        <f t="shared" si="5"/>
        <v>0</v>
      </c>
      <c r="G23" s="512">
        <f t="shared" si="6"/>
        <v>0</v>
      </c>
      <c r="H23" s="478">
        <f t="shared" si="7"/>
        <v>0</v>
      </c>
      <c r="I23" s="501">
        <f t="shared" si="8"/>
        <v>0</v>
      </c>
      <c r="J23" s="501"/>
      <c r="K23" s="513"/>
      <c r="L23" s="505">
        <f t="shared" si="1"/>
        <v>0</v>
      </c>
      <c r="M23" s="513"/>
      <c r="N23" s="505">
        <f t="shared" si="2"/>
        <v>0</v>
      </c>
      <c r="O23" s="505">
        <f t="shared" si="3"/>
        <v>0</v>
      </c>
      <c r="P23" s="279"/>
      <c r="R23" s="244"/>
      <c r="S23" s="244"/>
      <c r="T23" s="244"/>
      <c r="U23" s="244"/>
    </row>
    <row r="24" spans="2:21" ht="12.5">
      <c r="B24" s="145" t="str">
        <f t="shared" si="0"/>
        <v/>
      </c>
      <c r="C24" s="496">
        <f>IF(D$11="","-",+C23+1)</f>
        <v>2019</v>
      </c>
      <c r="D24" s="509"/>
      <c r="E24" s="510">
        <f t="shared" si="4"/>
        <v>0</v>
      </c>
      <c r="F24" s="511">
        <f t="shared" si="5"/>
        <v>0</v>
      </c>
      <c r="G24" s="512">
        <f t="shared" si="6"/>
        <v>0</v>
      </c>
      <c r="H24" s="478">
        <f t="shared" si="7"/>
        <v>0</v>
      </c>
      <c r="I24" s="501">
        <f t="shared" si="8"/>
        <v>0</v>
      </c>
      <c r="J24" s="501"/>
      <c r="K24" s="513"/>
      <c r="L24" s="505">
        <f t="shared" si="1"/>
        <v>0</v>
      </c>
      <c r="M24" s="513"/>
      <c r="N24" s="505">
        <f t="shared" si="2"/>
        <v>0</v>
      </c>
      <c r="O24" s="505">
        <f t="shared" si="3"/>
        <v>0</v>
      </c>
      <c r="P24" s="279"/>
      <c r="R24" s="244"/>
      <c r="S24" s="244"/>
      <c r="T24" s="244"/>
      <c r="U24" s="244"/>
    </row>
    <row r="25" spans="2:21" ht="12.5">
      <c r="B25" s="145" t="str">
        <f t="shared" si="0"/>
        <v/>
      </c>
      <c r="C25" s="496">
        <f>IF(D$11="","-",+C24+1)</f>
        <v>2020</v>
      </c>
      <c r="D25" s="509"/>
      <c r="E25" s="510">
        <f t="shared" si="4"/>
        <v>0</v>
      </c>
      <c r="F25" s="511">
        <f t="shared" si="5"/>
        <v>0</v>
      </c>
      <c r="G25" s="512">
        <f t="shared" si="6"/>
        <v>0</v>
      </c>
      <c r="H25" s="478">
        <f t="shared" si="7"/>
        <v>0</v>
      </c>
      <c r="I25" s="501">
        <f t="shared" si="8"/>
        <v>0</v>
      </c>
      <c r="J25" s="501"/>
      <c r="K25" s="513"/>
      <c r="L25" s="505">
        <f t="shared" si="1"/>
        <v>0</v>
      </c>
      <c r="M25" s="513"/>
      <c r="N25" s="505">
        <f t="shared" si="2"/>
        <v>0</v>
      </c>
      <c r="O25" s="505">
        <f t="shared" si="3"/>
        <v>0</v>
      </c>
      <c r="P25" s="279"/>
      <c r="R25" s="244"/>
      <c r="S25" s="244"/>
      <c r="T25" s="244"/>
      <c r="U25" s="244"/>
    </row>
    <row r="26" spans="2:21" ht="12.5">
      <c r="B26" s="145" t="str">
        <f t="shared" si="0"/>
        <v/>
      </c>
      <c r="C26" s="496">
        <f>IF(D$11="","-",+C25+1)</f>
        <v>2021</v>
      </c>
      <c r="D26" s="509"/>
      <c r="E26" s="510">
        <f t="shared" si="4"/>
        <v>0</v>
      </c>
      <c r="F26" s="511">
        <f t="shared" si="5"/>
        <v>0</v>
      </c>
      <c r="G26" s="512">
        <f t="shared" si="6"/>
        <v>0</v>
      </c>
      <c r="H26" s="478">
        <f t="shared" si="7"/>
        <v>0</v>
      </c>
      <c r="I26" s="501">
        <f t="shared" si="8"/>
        <v>0</v>
      </c>
      <c r="J26" s="501"/>
      <c r="K26" s="513"/>
      <c r="L26" s="505">
        <f t="shared" si="1"/>
        <v>0</v>
      </c>
      <c r="M26" s="513"/>
      <c r="N26" s="505">
        <f t="shared" si="2"/>
        <v>0</v>
      </c>
      <c r="O26" s="505">
        <f t="shared" si="3"/>
        <v>0</v>
      </c>
      <c r="P26" s="279"/>
      <c r="R26" s="244"/>
      <c r="S26" s="244"/>
      <c r="T26" s="244"/>
      <c r="U26" s="244"/>
    </row>
    <row r="27" spans="2:21" ht="12.5">
      <c r="B27" s="145" t="str">
        <f t="shared" si="0"/>
        <v/>
      </c>
      <c r="C27" s="496">
        <f t="shared" ref="C27:C73" si="9">IF(D$11="","-",+C26+1)</f>
        <v>2022</v>
      </c>
      <c r="D27" s="509"/>
      <c r="E27" s="510">
        <f t="shared" si="4"/>
        <v>0</v>
      </c>
      <c r="F27" s="511">
        <f t="shared" si="5"/>
        <v>0</v>
      </c>
      <c r="G27" s="512">
        <f t="shared" si="6"/>
        <v>0</v>
      </c>
      <c r="H27" s="478">
        <f t="shared" si="7"/>
        <v>0</v>
      </c>
      <c r="I27" s="501">
        <f t="shared" si="8"/>
        <v>0</v>
      </c>
      <c r="J27" s="501"/>
      <c r="K27" s="513"/>
      <c r="L27" s="505">
        <f t="shared" si="1"/>
        <v>0</v>
      </c>
      <c r="M27" s="513"/>
      <c r="N27" s="505">
        <f t="shared" si="2"/>
        <v>0</v>
      </c>
      <c r="O27" s="505">
        <f t="shared" si="3"/>
        <v>0</v>
      </c>
      <c r="P27" s="279"/>
      <c r="R27" s="244"/>
      <c r="S27" s="244"/>
      <c r="T27" s="244"/>
      <c r="U27" s="244"/>
    </row>
    <row r="28" spans="2:21" ht="12.5">
      <c r="B28" s="145" t="str">
        <f t="shared" si="0"/>
        <v/>
      </c>
      <c r="C28" s="496">
        <f t="shared" si="9"/>
        <v>2023</v>
      </c>
      <c r="D28" s="509"/>
      <c r="E28" s="510">
        <f t="shared" si="4"/>
        <v>0</v>
      </c>
      <c r="F28" s="511">
        <f t="shared" si="5"/>
        <v>0</v>
      </c>
      <c r="G28" s="512">
        <f t="shared" si="6"/>
        <v>0</v>
      </c>
      <c r="H28" s="478">
        <f t="shared" si="7"/>
        <v>0</v>
      </c>
      <c r="I28" s="501">
        <f t="shared" si="8"/>
        <v>0</v>
      </c>
      <c r="J28" s="501"/>
      <c r="K28" s="513"/>
      <c r="L28" s="505">
        <f t="shared" si="1"/>
        <v>0</v>
      </c>
      <c r="M28" s="513"/>
      <c r="N28" s="505">
        <f t="shared" si="2"/>
        <v>0</v>
      </c>
      <c r="O28" s="505">
        <f t="shared" si="3"/>
        <v>0</v>
      </c>
      <c r="P28" s="279"/>
      <c r="R28" s="244"/>
      <c r="S28" s="244"/>
      <c r="T28" s="244"/>
      <c r="U28" s="244"/>
    </row>
    <row r="29" spans="2:21" ht="12.5">
      <c r="B29" s="145" t="str">
        <f t="shared" si="0"/>
        <v/>
      </c>
      <c r="C29" s="496">
        <f t="shared" si="9"/>
        <v>2024</v>
      </c>
      <c r="D29" s="509"/>
      <c r="E29" s="510">
        <f t="shared" si="4"/>
        <v>0</v>
      </c>
      <c r="F29" s="511">
        <f t="shared" si="5"/>
        <v>0</v>
      </c>
      <c r="G29" s="512">
        <f t="shared" si="6"/>
        <v>0</v>
      </c>
      <c r="H29" s="478">
        <f t="shared" si="7"/>
        <v>0</v>
      </c>
      <c r="I29" s="501">
        <f t="shared" si="8"/>
        <v>0</v>
      </c>
      <c r="J29" s="501"/>
      <c r="K29" s="513"/>
      <c r="L29" s="505">
        <f t="shared" si="1"/>
        <v>0</v>
      </c>
      <c r="M29" s="513"/>
      <c r="N29" s="505">
        <f t="shared" si="2"/>
        <v>0</v>
      </c>
      <c r="O29" s="505">
        <f t="shared" si="3"/>
        <v>0</v>
      </c>
      <c r="P29" s="279"/>
      <c r="R29" s="244"/>
      <c r="S29" s="244"/>
      <c r="T29" s="244"/>
      <c r="U29" s="244"/>
    </row>
    <row r="30" spans="2:21" ht="12.5">
      <c r="B30" s="145" t="str">
        <f t="shared" si="0"/>
        <v/>
      </c>
      <c r="C30" s="496">
        <f t="shared" si="9"/>
        <v>2025</v>
      </c>
      <c r="D30" s="509"/>
      <c r="E30" s="510">
        <f t="shared" si="4"/>
        <v>0</v>
      </c>
      <c r="F30" s="511">
        <f t="shared" si="5"/>
        <v>0</v>
      </c>
      <c r="G30" s="512">
        <f t="shared" si="6"/>
        <v>0</v>
      </c>
      <c r="H30" s="478">
        <f t="shared" si="7"/>
        <v>0</v>
      </c>
      <c r="I30" s="501">
        <f t="shared" si="8"/>
        <v>0</v>
      </c>
      <c r="J30" s="501"/>
      <c r="K30" s="513"/>
      <c r="L30" s="505">
        <f t="shared" si="1"/>
        <v>0</v>
      </c>
      <c r="M30" s="513"/>
      <c r="N30" s="505">
        <f t="shared" si="2"/>
        <v>0</v>
      </c>
      <c r="O30" s="505">
        <f t="shared" si="3"/>
        <v>0</v>
      </c>
      <c r="P30" s="279"/>
      <c r="R30" s="244"/>
      <c r="S30" s="244"/>
      <c r="T30" s="244"/>
      <c r="U30" s="244"/>
    </row>
    <row r="31" spans="2:21" ht="12.5">
      <c r="B31" s="145" t="str">
        <f t="shared" si="0"/>
        <v/>
      </c>
      <c r="C31" s="496">
        <f t="shared" si="9"/>
        <v>2026</v>
      </c>
      <c r="D31" s="509"/>
      <c r="E31" s="510">
        <f t="shared" si="4"/>
        <v>0</v>
      </c>
      <c r="F31" s="511">
        <f t="shared" si="5"/>
        <v>0</v>
      </c>
      <c r="G31" s="512">
        <f t="shared" si="6"/>
        <v>0</v>
      </c>
      <c r="H31" s="478">
        <f t="shared" si="7"/>
        <v>0</v>
      </c>
      <c r="I31" s="501">
        <f t="shared" si="8"/>
        <v>0</v>
      </c>
      <c r="J31" s="501"/>
      <c r="K31" s="513"/>
      <c r="L31" s="505">
        <f t="shared" si="1"/>
        <v>0</v>
      </c>
      <c r="M31" s="513"/>
      <c r="N31" s="505">
        <f t="shared" si="2"/>
        <v>0</v>
      </c>
      <c r="O31" s="505">
        <f t="shared" si="3"/>
        <v>0</v>
      </c>
      <c r="P31" s="279"/>
      <c r="Q31" s="221"/>
      <c r="R31" s="279"/>
      <c r="S31" s="279"/>
      <c r="T31" s="279"/>
      <c r="U31" s="244"/>
    </row>
    <row r="32" spans="2:21" ht="12.5">
      <c r="B32" s="145" t="str">
        <f t="shared" si="0"/>
        <v/>
      </c>
      <c r="C32" s="496">
        <f t="shared" si="9"/>
        <v>2027</v>
      </c>
      <c r="D32" s="509"/>
      <c r="E32" s="510">
        <f t="shared" si="4"/>
        <v>0</v>
      </c>
      <c r="F32" s="511">
        <f>+D32-E32</f>
        <v>0</v>
      </c>
      <c r="G32" s="512">
        <f t="shared" si="6"/>
        <v>0</v>
      </c>
      <c r="H32" s="478">
        <f t="shared" si="7"/>
        <v>0</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 t="shared" si="9"/>
        <v>2028</v>
      </c>
      <c r="D33" s="509"/>
      <c r="E33" s="510">
        <f>IF(+I$14&lt;F31,I$14,D33)</f>
        <v>0</v>
      </c>
      <c r="F33" s="511">
        <f t="shared" si="5"/>
        <v>0</v>
      </c>
      <c r="G33" s="512">
        <f t="shared" si="6"/>
        <v>0</v>
      </c>
      <c r="H33" s="478">
        <f t="shared" si="7"/>
        <v>0</v>
      </c>
      <c r="I33" s="501">
        <f t="shared" si="8"/>
        <v>0</v>
      </c>
      <c r="J33" s="501"/>
      <c r="K33" s="513"/>
      <c r="L33" s="505">
        <f t="shared" si="1"/>
        <v>0</v>
      </c>
      <c r="M33" s="513"/>
      <c r="N33" s="505">
        <f t="shared" si="2"/>
        <v>0</v>
      </c>
      <c r="O33" s="505">
        <f t="shared" si="3"/>
        <v>0</v>
      </c>
      <c r="P33" s="279"/>
      <c r="R33" s="244"/>
      <c r="S33" s="244"/>
      <c r="T33" s="244"/>
      <c r="U33" s="244"/>
    </row>
    <row r="34" spans="2:21" ht="12.5">
      <c r="B34" s="145" t="str">
        <f t="shared" si="0"/>
        <v/>
      </c>
      <c r="C34" s="496">
        <f t="shared" si="9"/>
        <v>2029</v>
      </c>
      <c r="D34" s="509"/>
      <c r="E34" s="510">
        <f t="shared" ref="E34:E73" si="10">IF(+I$14&lt;F33,I$14,D34)</f>
        <v>0</v>
      </c>
      <c r="F34" s="511">
        <f t="shared" si="5"/>
        <v>0</v>
      </c>
      <c r="G34" s="512">
        <f t="shared" si="6"/>
        <v>0</v>
      </c>
      <c r="H34" s="478">
        <f t="shared" si="7"/>
        <v>0</v>
      </c>
      <c r="I34" s="501">
        <f t="shared" si="8"/>
        <v>0</v>
      </c>
      <c r="J34" s="501"/>
      <c r="K34" s="513"/>
      <c r="L34" s="505">
        <f t="shared" si="1"/>
        <v>0</v>
      </c>
      <c r="M34" s="513"/>
      <c r="N34" s="505">
        <f t="shared" si="2"/>
        <v>0</v>
      </c>
      <c r="O34" s="505">
        <f t="shared" si="3"/>
        <v>0</v>
      </c>
      <c r="P34" s="523"/>
      <c r="Q34" s="217"/>
      <c r="R34" s="523"/>
      <c r="S34" s="523"/>
      <c r="T34" s="523"/>
      <c r="U34" s="244"/>
    </row>
    <row r="35" spans="2:21" ht="12.5">
      <c r="B35" s="145" t="str">
        <f t="shared" si="0"/>
        <v/>
      </c>
      <c r="C35" s="496">
        <f t="shared" si="9"/>
        <v>2030</v>
      </c>
      <c r="D35" s="509"/>
      <c r="E35" s="510">
        <f t="shared" si="10"/>
        <v>0</v>
      </c>
      <c r="F35" s="511">
        <f t="shared" si="5"/>
        <v>0</v>
      </c>
      <c r="G35" s="512">
        <f t="shared" si="6"/>
        <v>0</v>
      </c>
      <c r="H35" s="478">
        <f t="shared" si="7"/>
        <v>0</v>
      </c>
      <c r="I35" s="501">
        <f t="shared" si="8"/>
        <v>0</v>
      </c>
      <c r="J35" s="501"/>
      <c r="K35" s="513"/>
      <c r="L35" s="505">
        <f t="shared" si="1"/>
        <v>0</v>
      </c>
      <c r="M35" s="513"/>
      <c r="N35" s="505">
        <f t="shared" si="2"/>
        <v>0</v>
      </c>
      <c r="O35" s="505">
        <f t="shared" si="3"/>
        <v>0</v>
      </c>
      <c r="P35" s="279"/>
      <c r="R35" s="244"/>
      <c r="S35" s="244"/>
      <c r="T35" s="244"/>
      <c r="U35" s="244"/>
    </row>
    <row r="36" spans="2:21" ht="12.5">
      <c r="B36" s="145" t="str">
        <f t="shared" si="0"/>
        <v/>
      </c>
      <c r="C36" s="496">
        <f t="shared" si="9"/>
        <v>2031</v>
      </c>
      <c r="D36" s="509"/>
      <c r="E36" s="510">
        <f t="shared" si="10"/>
        <v>0</v>
      </c>
      <c r="F36" s="511">
        <f t="shared" si="5"/>
        <v>0</v>
      </c>
      <c r="G36" s="512">
        <f t="shared" si="6"/>
        <v>0</v>
      </c>
      <c r="H36" s="478">
        <f t="shared" si="7"/>
        <v>0</v>
      </c>
      <c r="I36" s="501">
        <f t="shared" si="8"/>
        <v>0</v>
      </c>
      <c r="J36" s="501"/>
      <c r="K36" s="513"/>
      <c r="L36" s="505">
        <f t="shared" si="1"/>
        <v>0</v>
      </c>
      <c r="M36" s="513"/>
      <c r="N36" s="505">
        <f t="shared" si="2"/>
        <v>0</v>
      </c>
      <c r="O36" s="505">
        <f t="shared" si="3"/>
        <v>0</v>
      </c>
      <c r="P36" s="279"/>
      <c r="R36" s="244"/>
      <c r="S36" s="244"/>
      <c r="T36" s="244"/>
      <c r="U36" s="244"/>
    </row>
    <row r="37" spans="2:21" ht="12.5">
      <c r="B37" s="145" t="str">
        <f t="shared" si="0"/>
        <v/>
      </c>
      <c r="C37" s="496">
        <f t="shared" si="9"/>
        <v>2032</v>
      </c>
      <c r="D37" s="509"/>
      <c r="E37" s="510">
        <f t="shared" si="10"/>
        <v>0</v>
      </c>
      <c r="F37" s="511">
        <f t="shared" si="5"/>
        <v>0</v>
      </c>
      <c r="G37" s="512">
        <f t="shared" si="6"/>
        <v>0</v>
      </c>
      <c r="H37" s="478">
        <f t="shared" si="7"/>
        <v>0</v>
      </c>
      <c r="I37" s="501">
        <f t="shared" si="8"/>
        <v>0</v>
      </c>
      <c r="J37" s="501"/>
      <c r="K37" s="513"/>
      <c r="L37" s="505">
        <f t="shared" si="1"/>
        <v>0</v>
      </c>
      <c r="M37" s="513"/>
      <c r="N37" s="505">
        <f t="shared" si="2"/>
        <v>0</v>
      </c>
      <c r="O37" s="505">
        <f t="shared" si="3"/>
        <v>0</v>
      </c>
      <c r="P37" s="279"/>
      <c r="R37" s="244"/>
      <c r="S37" s="244"/>
      <c r="T37" s="244"/>
      <c r="U37" s="244"/>
    </row>
    <row r="38" spans="2:21" ht="12.5">
      <c r="B38" s="145" t="str">
        <f t="shared" si="0"/>
        <v/>
      </c>
      <c r="C38" s="496">
        <f t="shared" si="9"/>
        <v>2033</v>
      </c>
      <c r="D38" s="509"/>
      <c r="E38" s="510">
        <f t="shared" si="10"/>
        <v>0</v>
      </c>
      <c r="F38" s="511">
        <f t="shared" si="5"/>
        <v>0</v>
      </c>
      <c r="G38" s="512">
        <f t="shared" si="6"/>
        <v>0</v>
      </c>
      <c r="H38" s="478">
        <f t="shared" si="7"/>
        <v>0</v>
      </c>
      <c r="I38" s="501">
        <f t="shared" si="8"/>
        <v>0</v>
      </c>
      <c r="J38" s="501"/>
      <c r="K38" s="513"/>
      <c r="L38" s="505">
        <f t="shared" si="1"/>
        <v>0</v>
      </c>
      <c r="M38" s="513"/>
      <c r="N38" s="505">
        <f t="shared" si="2"/>
        <v>0</v>
      </c>
      <c r="O38" s="505">
        <f t="shared" si="3"/>
        <v>0</v>
      </c>
      <c r="P38" s="279"/>
      <c r="R38" s="244"/>
      <c r="S38" s="244"/>
      <c r="T38" s="244"/>
      <c r="U38" s="244"/>
    </row>
    <row r="39" spans="2:21" ht="12.5">
      <c r="B39" s="145" t="str">
        <f t="shared" si="0"/>
        <v/>
      </c>
      <c r="C39" s="496">
        <f t="shared" si="9"/>
        <v>2034</v>
      </c>
      <c r="D39" s="509"/>
      <c r="E39" s="510">
        <f t="shared" si="10"/>
        <v>0</v>
      </c>
      <c r="F39" s="511">
        <f t="shared" si="5"/>
        <v>0</v>
      </c>
      <c r="G39" s="512">
        <f t="shared" si="6"/>
        <v>0</v>
      </c>
      <c r="H39" s="478">
        <f t="shared" si="7"/>
        <v>0</v>
      </c>
      <c r="I39" s="501">
        <f t="shared" si="8"/>
        <v>0</v>
      </c>
      <c r="J39" s="501"/>
      <c r="K39" s="513"/>
      <c r="L39" s="505">
        <f t="shared" si="1"/>
        <v>0</v>
      </c>
      <c r="M39" s="513"/>
      <c r="N39" s="505">
        <f t="shared" si="2"/>
        <v>0</v>
      </c>
      <c r="O39" s="505">
        <f t="shared" si="3"/>
        <v>0</v>
      </c>
      <c r="P39" s="279"/>
      <c r="R39" s="244"/>
      <c r="S39" s="244"/>
      <c r="T39" s="244"/>
      <c r="U39" s="244"/>
    </row>
    <row r="40" spans="2:21" ht="12.5">
      <c r="B40" s="145" t="str">
        <f t="shared" si="0"/>
        <v/>
      </c>
      <c r="C40" s="496">
        <f t="shared" si="9"/>
        <v>2035</v>
      </c>
      <c r="D40" s="509"/>
      <c r="E40" s="510">
        <f t="shared" si="10"/>
        <v>0</v>
      </c>
      <c r="F40" s="511">
        <f t="shared" si="5"/>
        <v>0</v>
      </c>
      <c r="G40" s="512">
        <f t="shared" si="6"/>
        <v>0</v>
      </c>
      <c r="H40" s="478">
        <f t="shared" si="7"/>
        <v>0</v>
      </c>
      <c r="I40" s="501">
        <f t="shared" si="8"/>
        <v>0</v>
      </c>
      <c r="J40" s="501"/>
      <c r="K40" s="513"/>
      <c r="L40" s="505">
        <f t="shared" si="1"/>
        <v>0</v>
      </c>
      <c r="M40" s="513"/>
      <c r="N40" s="505">
        <f t="shared" si="2"/>
        <v>0</v>
      </c>
      <c r="O40" s="505">
        <f t="shared" si="3"/>
        <v>0</v>
      </c>
      <c r="P40" s="279"/>
      <c r="R40" s="244"/>
      <c r="S40" s="244"/>
      <c r="T40" s="244"/>
      <c r="U40" s="244"/>
    </row>
    <row r="41" spans="2:21" ht="12.5">
      <c r="B41" s="145" t="str">
        <f t="shared" si="0"/>
        <v/>
      </c>
      <c r="C41" s="496">
        <f t="shared" si="9"/>
        <v>2036</v>
      </c>
      <c r="D41" s="509"/>
      <c r="E41" s="510">
        <f t="shared" si="10"/>
        <v>0</v>
      </c>
      <c r="F41" s="511">
        <f t="shared" si="5"/>
        <v>0</v>
      </c>
      <c r="G41" s="512">
        <f t="shared" si="6"/>
        <v>0</v>
      </c>
      <c r="H41" s="478">
        <f t="shared" si="7"/>
        <v>0</v>
      </c>
      <c r="I41" s="501">
        <f t="shared" si="8"/>
        <v>0</v>
      </c>
      <c r="J41" s="501"/>
      <c r="K41" s="513"/>
      <c r="L41" s="505">
        <f t="shared" si="1"/>
        <v>0</v>
      </c>
      <c r="M41" s="513"/>
      <c r="N41" s="505">
        <f t="shared" si="2"/>
        <v>0</v>
      </c>
      <c r="O41" s="505">
        <f t="shared" si="3"/>
        <v>0</v>
      </c>
      <c r="P41" s="279"/>
      <c r="R41" s="244"/>
      <c r="S41" s="244"/>
      <c r="T41" s="244"/>
      <c r="U41" s="244"/>
    </row>
    <row r="42" spans="2:21" ht="12.5">
      <c r="B42" s="145" t="str">
        <f t="shared" si="0"/>
        <v/>
      </c>
      <c r="C42" s="496">
        <f t="shared" si="9"/>
        <v>2037</v>
      </c>
      <c r="D42" s="509"/>
      <c r="E42" s="510">
        <f t="shared" si="10"/>
        <v>0</v>
      </c>
      <c r="F42" s="511">
        <f t="shared" si="5"/>
        <v>0</v>
      </c>
      <c r="G42" s="512">
        <f t="shared" si="6"/>
        <v>0</v>
      </c>
      <c r="H42" s="478">
        <f t="shared" si="7"/>
        <v>0</v>
      </c>
      <c r="I42" s="501">
        <f t="shared" si="8"/>
        <v>0</v>
      </c>
      <c r="J42" s="501"/>
      <c r="K42" s="513"/>
      <c r="L42" s="505">
        <f t="shared" si="1"/>
        <v>0</v>
      </c>
      <c r="M42" s="513"/>
      <c r="N42" s="505">
        <f t="shared" si="2"/>
        <v>0</v>
      </c>
      <c r="O42" s="505">
        <f t="shared" si="3"/>
        <v>0</v>
      </c>
      <c r="P42" s="279"/>
      <c r="R42" s="244"/>
      <c r="S42" s="244"/>
      <c r="T42" s="244"/>
      <c r="U42" s="244"/>
    </row>
    <row r="43" spans="2:21" ht="12.5">
      <c r="B43" s="145" t="str">
        <f t="shared" si="0"/>
        <v/>
      </c>
      <c r="C43" s="496">
        <f t="shared" si="9"/>
        <v>2038</v>
      </c>
      <c r="D43" s="509"/>
      <c r="E43" s="510">
        <f t="shared" si="10"/>
        <v>0</v>
      </c>
      <c r="F43" s="511">
        <f t="shared" si="5"/>
        <v>0</v>
      </c>
      <c r="G43" s="512">
        <f t="shared" si="6"/>
        <v>0</v>
      </c>
      <c r="H43" s="478">
        <f t="shared" si="7"/>
        <v>0</v>
      </c>
      <c r="I43" s="501">
        <f t="shared" si="8"/>
        <v>0</v>
      </c>
      <c r="J43" s="501"/>
      <c r="K43" s="513"/>
      <c r="L43" s="505">
        <f t="shared" si="1"/>
        <v>0</v>
      </c>
      <c r="M43" s="513"/>
      <c r="N43" s="505">
        <f t="shared" si="2"/>
        <v>0</v>
      </c>
      <c r="O43" s="505">
        <f t="shared" si="3"/>
        <v>0</v>
      </c>
      <c r="P43" s="279"/>
      <c r="R43" s="244"/>
      <c r="S43" s="244"/>
      <c r="T43" s="244"/>
      <c r="U43" s="244"/>
    </row>
    <row r="44" spans="2:21" ht="12.5">
      <c r="B44" s="145" t="str">
        <f t="shared" si="0"/>
        <v/>
      </c>
      <c r="C44" s="496">
        <f t="shared" si="9"/>
        <v>2039</v>
      </c>
      <c r="D44" s="509"/>
      <c r="E44" s="510">
        <f t="shared" si="10"/>
        <v>0</v>
      </c>
      <c r="F44" s="511">
        <f t="shared" si="5"/>
        <v>0</v>
      </c>
      <c r="G44" s="512">
        <f t="shared" si="6"/>
        <v>0</v>
      </c>
      <c r="H44" s="478">
        <f t="shared" si="7"/>
        <v>0</v>
      </c>
      <c r="I44" s="501">
        <f t="shared" si="8"/>
        <v>0</v>
      </c>
      <c r="J44" s="501"/>
      <c r="K44" s="513"/>
      <c r="L44" s="505">
        <f t="shared" si="1"/>
        <v>0</v>
      </c>
      <c r="M44" s="513"/>
      <c r="N44" s="505">
        <f t="shared" si="2"/>
        <v>0</v>
      </c>
      <c r="O44" s="505">
        <f t="shared" si="3"/>
        <v>0</v>
      </c>
      <c r="P44" s="279"/>
      <c r="R44" s="244"/>
      <c r="S44" s="244"/>
      <c r="T44" s="244"/>
      <c r="U44" s="244"/>
    </row>
    <row r="45" spans="2:21" ht="12.5">
      <c r="B45" s="145" t="str">
        <f t="shared" si="0"/>
        <v/>
      </c>
      <c r="C45" s="496">
        <f t="shared" si="9"/>
        <v>2040</v>
      </c>
      <c r="D45" s="509"/>
      <c r="E45" s="510">
        <f t="shared" si="10"/>
        <v>0</v>
      </c>
      <c r="F45" s="511">
        <f t="shared" si="5"/>
        <v>0</v>
      </c>
      <c r="G45" s="512">
        <f t="shared" si="6"/>
        <v>0</v>
      </c>
      <c r="H45" s="478">
        <f t="shared" si="7"/>
        <v>0</v>
      </c>
      <c r="I45" s="501">
        <f t="shared" si="8"/>
        <v>0</v>
      </c>
      <c r="J45" s="501"/>
      <c r="K45" s="513"/>
      <c r="L45" s="505">
        <f t="shared" si="1"/>
        <v>0</v>
      </c>
      <c r="M45" s="513"/>
      <c r="N45" s="505">
        <f t="shared" si="2"/>
        <v>0</v>
      </c>
      <c r="O45" s="505">
        <f t="shared" si="3"/>
        <v>0</v>
      </c>
      <c r="P45" s="279"/>
      <c r="R45" s="244"/>
      <c r="S45" s="244"/>
      <c r="T45" s="244"/>
      <c r="U45" s="244"/>
    </row>
    <row r="46" spans="2:21" ht="12.5">
      <c r="B46" s="145" t="str">
        <f t="shared" si="0"/>
        <v/>
      </c>
      <c r="C46" s="496">
        <f t="shared" si="9"/>
        <v>2041</v>
      </c>
      <c r="D46" s="509"/>
      <c r="E46" s="510">
        <f t="shared" si="10"/>
        <v>0</v>
      </c>
      <c r="F46" s="511">
        <f t="shared" si="5"/>
        <v>0</v>
      </c>
      <c r="G46" s="512">
        <f t="shared" si="6"/>
        <v>0</v>
      </c>
      <c r="H46" s="478">
        <f t="shared" si="7"/>
        <v>0</v>
      </c>
      <c r="I46" s="501">
        <f t="shared" si="8"/>
        <v>0</v>
      </c>
      <c r="J46" s="501"/>
      <c r="K46" s="513"/>
      <c r="L46" s="505">
        <f t="shared" si="1"/>
        <v>0</v>
      </c>
      <c r="M46" s="513"/>
      <c r="N46" s="505">
        <f t="shared" si="2"/>
        <v>0</v>
      </c>
      <c r="O46" s="505">
        <f t="shared" si="3"/>
        <v>0</v>
      </c>
      <c r="P46" s="279"/>
      <c r="R46" s="244"/>
      <c r="S46" s="244"/>
      <c r="T46" s="244"/>
      <c r="U46" s="244"/>
    </row>
    <row r="47" spans="2:21" ht="12.5">
      <c r="B47" s="145" t="str">
        <f t="shared" si="0"/>
        <v/>
      </c>
      <c r="C47" s="496">
        <f t="shared" si="9"/>
        <v>2042</v>
      </c>
      <c r="D47" s="509"/>
      <c r="E47" s="510">
        <f t="shared" si="10"/>
        <v>0</v>
      </c>
      <c r="F47" s="511">
        <f t="shared" si="5"/>
        <v>0</v>
      </c>
      <c r="G47" s="512">
        <f t="shared" si="6"/>
        <v>0</v>
      </c>
      <c r="H47" s="478">
        <f t="shared" si="7"/>
        <v>0</v>
      </c>
      <c r="I47" s="501">
        <f t="shared" si="8"/>
        <v>0</v>
      </c>
      <c r="J47" s="501"/>
      <c r="K47" s="513"/>
      <c r="L47" s="505">
        <f t="shared" si="1"/>
        <v>0</v>
      </c>
      <c r="M47" s="513"/>
      <c r="N47" s="505">
        <f t="shared" si="2"/>
        <v>0</v>
      </c>
      <c r="O47" s="505">
        <f t="shared" si="3"/>
        <v>0</v>
      </c>
      <c r="P47" s="279"/>
      <c r="R47" s="244"/>
      <c r="S47" s="244"/>
      <c r="T47" s="244"/>
      <c r="U47" s="244"/>
    </row>
    <row r="48" spans="2:21" ht="12.5">
      <c r="B48" s="145" t="str">
        <f t="shared" si="0"/>
        <v/>
      </c>
      <c r="C48" s="496">
        <f t="shared" si="9"/>
        <v>2043</v>
      </c>
      <c r="D48" s="509"/>
      <c r="E48" s="510">
        <f t="shared" si="10"/>
        <v>0</v>
      </c>
      <c r="F48" s="511">
        <f t="shared" si="5"/>
        <v>0</v>
      </c>
      <c r="G48" s="512">
        <f t="shared" si="6"/>
        <v>0</v>
      </c>
      <c r="H48" s="478">
        <f t="shared" si="7"/>
        <v>0</v>
      </c>
      <c r="I48" s="501">
        <f t="shared" si="8"/>
        <v>0</v>
      </c>
      <c r="J48" s="501"/>
      <c r="K48" s="513"/>
      <c r="L48" s="505">
        <f t="shared" si="1"/>
        <v>0</v>
      </c>
      <c r="M48" s="513"/>
      <c r="N48" s="505">
        <f t="shared" si="2"/>
        <v>0</v>
      </c>
      <c r="O48" s="505">
        <f t="shared" si="3"/>
        <v>0</v>
      </c>
      <c r="P48" s="279"/>
      <c r="R48" s="244"/>
      <c r="S48" s="244"/>
      <c r="T48" s="244"/>
      <c r="U48" s="244"/>
    </row>
    <row r="49" spans="2:21" ht="12.5">
      <c r="B49" s="145" t="str">
        <f t="shared" si="0"/>
        <v/>
      </c>
      <c r="C49" s="496">
        <f t="shared" si="9"/>
        <v>2044</v>
      </c>
      <c r="D49" s="509"/>
      <c r="E49" s="510">
        <f t="shared" si="10"/>
        <v>0</v>
      </c>
      <c r="F49" s="511">
        <f t="shared" si="5"/>
        <v>0</v>
      </c>
      <c r="G49" s="512">
        <f t="shared" si="6"/>
        <v>0</v>
      </c>
      <c r="H49" s="478">
        <f t="shared" si="7"/>
        <v>0</v>
      </c>
      <c r="I49" s="501">
        <f t="shared" si="8"/>
        <v>0</v>
      </c>
      <c r="J49" s="501"/>
      <c r="K49" s="513"/>
      <c r="L49" s="505">
        <f t="shared" si="1"/>
        <v>0</v>
      </c>
      <c r="M49" s="513"/>
      <c r="N49" s="505">
        <f t="shared" si="2"/>
        <v>0</v>
      </c>
      <c r="O49" s="505">
        <f t="shared" si="3"/>
        <v>0</v>
      </c>
      <c r="P49" s="279"/>
      <c r="R49" s="244"/>
      <c r="S49" s="244"/>
      <c r="T49" s="244"/>
      <c r="U49" s="244"/>
    </row>
    <row r="50" spans="2:21" ht="12.5">
      <c r="B50" s="145" t="str">
        <f t="shared" ref="B50:B73" si="11">IF(D50=F49,"","IU")</f>
        <v/>
      </c>
      <c r="C50" s="496">
        <f t="shared" si="9"/>
        <v>2045</v>
      </c>
      <c r="D50" s="509"/>
      <c r="E50" s="510">
        <f t="shared" si="10"/>
        <v>0</v>
      </c>
      <c r="F50" s="511">
        <f t="shared" ref="F50:F73" si="12">+D50-E50</f>
        <v>0</v>
      </c>
      <c r="G50" s="512">
        <f t="shared" si="6"/>
        <v>0</v>
      </c>
      <c r="H50" s="478">
        <f t="shared" si="7"/>
        <v>0</v>
      </c>
      <c r="I50" s="501">
        <f t="shared" ref="I50:I73" si="13">H50-G50</f>
        <v>0</v>
      </c>
      <c r="J50" s="501"/>
      <c r="K50" s="513"/>
      <c r="L50" s="505">
        <f t="shared" ref="L50:L73" si="14">IF(K50&lt;&gt;0,+G50-K50,0)</f>
        <v>0</v>
      </c>
      <c r="M50" s="513"/>
      <c r="N50" s="505">
        <f t="shared" ref="N50:N73" si="15">IF(M50&lt;&gt;0,+H50-M50,0)</f>
        <v>0</v>
      </c>
      <c r="O50" s="505">
        <f t="shared" ref="O50:O73" si="16">+N50-L50</f>
        <v>0</v>
      </c>
      <c r="P50" s="279"/>
      <c r="R50" s="244"/>
      <c r="S50" s="244"/>
      <c r="T50" s="244"/>
      <c r="U50" s="244"/>
    </row>
    <row r="51" spans="2:21" ht="12.5">
      <c r="B51" s="145" t="str">
        <f t="shared" si="11"/>
        <v/>
      </c>
      <c r="C51" s="496">
        <f t="shared" si="9"/>
        <v>2046</v>
      </c>
      <c r="D51" s="509"/>
      <c r="E51" s="510">
        <f t="shared" si="10"/>
        <v>0</v>
      </c>
      <c r="F51" s="511">
        <f t="shared" si="12"/>
        <v>0</v>
      </c>
      <c r="G51" s="512">
        <f t="shared" si="6"/>
        <v>0</v>
      </c>
      <c r="H51" s="478">
        <f t="shared" si="7"/>
        <v>0</v>
      </c>
      <c r="I51" s="501">
        <f t="shared" si="13"/>
        <v>0</v>
      </c>
      <c r="J51" s="501"/>
      <c r="K51" s="513"/>
      <c r="L51" s="505">
        <f t="shared" si="14"/>
        <v>0</v>
      </c>
      <c r="M51" s="513"/>
      <c r="N51" s="505">
        <f t="shared" si="15"/>
        <v>0</v>
      </c>
      <c r="O51" s="505">
        <f t="shared" si="16"/>
        <v>0</v>
      </c>
      <c r="P51" s="279"/>
      <c r="R51" s="244"/>
      <c r="S51" s="244"/>
      <c r="T51" s="244"/>
      <c r="U51" s="244"/>
    </row>
    <row r="52" spans="2:21" ht="12.5">
      <c r="B52" s="145" t="str">
        <f t="shared" si="11"/>
        <v/>
      </c>
      <c r="C52" s="496">
        <f t="shared" si="9"/>
        <v>2047</v>
      </c>
      <c r="D52" s="509"/>
      <c r="E52" s="510">
        <f t="shared" si="10"/>
        <v>0</v>
      </c>
      <c r="F52" s="511">
        <f t="shared" si="12"/>
        <v>0</v>
      </c>
      <c r="G52" s="512">
        <f t="shared" si="6"/>
        <v>0</v>
      </c>
      <c r="H52" s="478">
        <f t="shared" si="7"/>
        <v>0</v>
      </c>
      <c r="I52" s="501">
        <f t="shared" si="13"/>
        <v>0</v>
      </c>
      <c r="J52" s="501"/>
      <c r="K52" s="513"/>
      <c r="L52" s="505">
        <f t="shared" si="14"/>
        <v>0</v>
      </c>
      <c r="M52" s="513"/>
      <c r="N52" s="505">
        <f t="shared" si="15"/>
        <v>0</v>
      </c>
      <c r="O52" s="505">
        <f t="shared" si="16"/>
        <v>0</v>
      </c>
      <c r="P52" s="279"/>
      <c r="R52" s="244"/>
      <c r="S52" s="244"/>
      <c r="T52" s="244"/>
      <c r="U52" s="244"/>
    </row>
    <row r="53" spans="2:21" ht="12.5">
      <c r="B53" s="145" t="str">
        <f t="shared" si="11"/>
        <v/>
      </c>
      <c r="C53" s="496">
        <f t="shared" si="9"/>
        <v>2048</v>
      </c>
      <c r="D53" s="509"/>
      <c r="E53" s="510">
        <f t="shared" si="10"/>
        <v>0</v>
      </c>
      <c r="F53" s="511">
        <f t="shared" si="12"/>
        <v>0</v>
      </c>
      <c r="G53" s="512">
        <f t="shared" si="6"/>
        <v>0</v>
      </c>
      <c r="H53" s="478">
        <f t="shared" si="7"/>
        <v>0</v>
      </c>
      <c r="I53" s="501">
        <f t="shared" si="13"/>
        <v>0</v>
      </c>
      <c r="J53" s="501"/>
      <c r="K53" s="513"/>
      <c r="L53" s="505">
        <f t="shared" si="14"/>
        <v>0</v>
      </c>
      <c r="M53" s="513"/>
      <c r="N53" s="505">
        <f t="shared" si="15"/>
        <v>0</v>
      </c>
      <c r="O53" s="505">
        <f t="shared" si="16"/>
        <v>0</v>
      </c>
      <c r="P53" s="279"/>
      <c r="R53" s="244"/>
      <c r="S53" s="244"/>
      <c r="T53" s="244"/>
      <c r="U53" s="244"/>
    </row>
    <row r="54" spans="2:21" ht="12.5">
      <c r="B54" s="145" t="str">
        <f t="shared" si="11"/>
        <v/>
      </c>
      <c r="C54" s="496">
        <f t="shared" si="9"/>
        <v>2049</v>
      </c>
      <c r="D54" s="509"/>
      <c r="E54" s="510">
        <f t="shared" si="10"/>
        <v>0</v>
      </c>
      <c r="F54" s="511">
        <f t="shared" si="12"/>
        <v>0</v>
      </c>
      <c r="G54" s="512">
        <f t="shared" si="6"/>
        <v>0</v>
      </c>
      <c r="H54" s="478">
        <f t="shared" si="7"/>
        <v>0</v>
      </c>
      <c r="I54" s="501">
        <f t="shared" si="13"/>
        <v>0</v>
      </c>
      <c r="J54" s="501"/>
      <c r="K54" s="513"/>
      <c r="L54" s="505">
        <f t="shared" si="14"/>
        <v>0</v>
      </c>
      <c r="M54" s="513"/>
      <c r="N54" s="505">
        <f t="shared" si="15"/>
        <v>0</v>
      </c>
      <c r="O54" s="505">
        <f t="shared" si="16"/>
        <v>0</v>
      </c>
      <c r="P54" s="279"/>
      <c r="R54" s="244"/>
      <c r="S54" s="244"/>
      <c r="T54" s="244"/>
      <c r="U54" s="244"/>
    </row>
    <row r="55" spans="2:21" ht="12.5">
      <c r="B55" s="145" t="str">
        <f t="shared" si="11"/>
        <v/>
      </c>
      <c r="C55" s="496">
        <f t="shared" si="9"/>
        <v>2050</v>
      </c>
      <c r="D55" s="509"/>
      <c r="E55" s="510">
        <f t="shared" si="10"/>
        <v>0</v>
      </c>
      <c r="F55" s="511">
        <f t="shared" si="12"/>
        <v>0</v>
      </c>
      <c r="G55" s="512">
        <f t="shared" si="6"/>
        <v>0</v>
      </c>
      <c r="H55" s="478">
        <f t="shared" si="7"/>
        <v>0</v>
      </c>
      <c r="I55" s="501">
        <f t="shared" si="13"/>
        <v>0</v>
      </c>
      <c r="J55" s="501"/>
      <c r="K55" s="513"/>
      <c r="L55" s="505">
        <f t="shared" si="14"/>
        <v>0</v>
      </c>
      <c r="M55" s="513"/>
      <c r="N55" s="505">
        <f t="shared" si="15"/>
        <v>0</v>
      </c>
      <c r="O55" s="505">
        <f t="shared" si="16"/>
        <v>0</v>
      </c>
      <c r="P55" s="279"/>
      <c r="R55" s="244"/>
      <c r="S55" s="244"/>
      <c r="T55" s="244"/>
      <c r="U55" s="244"/>
    </row>
    <row r="56" spans="2:21" ht="12.5">
      <c r="B56" s="145" t="str">
        <f t="shared" si="11"/>
        <v/>
      </c>
      <c r="C56" s="496">
        <f t="shared" si="9"/>
        <v>2051</v>
      </c>
      <c r="D56" s="509"/>
      <c r="E56" s="510">
        <f t="shared" si="10"/>
        <v>0</v>
      </c>
      <c r="F56" s="511">
        <f t="shared" si="12"/>
        <v>0</v>
      </c>
      <c r="G56" s="512">
        <f t="shared" si="6"/>
        <v>0</v>
      </c>
      <c r="H56" s="478">
        <f t="shared" si="7"/>
        <v>0</v>
      </c>
      <c r="I56" s="501">
        <f t="shared" si="13"/>
        <v>0</v>
      </c>
      <c r="J56" s="501"/>
      <c r="K56" s="513"/>
      <c r="L56" s="505">
        <f t="shared" si="14"/>
        <v>0</v>
      </c>
      <c r="M56" s="513"/>
      <c r="N56" s="505">
        <f t="shared" si="15"/>
        <v>0</v>
      </c>
      <c r="O56" s="505">
        <f t="shared" si="16"/>
        <v>0</v>
      </c>
      <c r="P56" s="279"/>
      <c r="R56" s="244"/>
      <c r="S56" s="244"/>
      <c r="T56" s="244"/>
      <c r="U56" s="244"/>
    </row>
    <row r="57" spans="2:21" ht="12.5">
      <c r="B57" s="145" t="str">
        <f t="shared" si="11"/>
        <v/>
      </c>
      <c r="C57" s="496">
        <f t="shared" si="9"/>
        <v>2052</v>
      </c>
      <c r="D57" s="509"/>
      <c r="E57" s="510">
        <f t="shared" si="10"/>
        <v>0</v>
      </c>
      <c r="F57" s="511">
        <f t="shared" si="12"/>
        <v>0</v>
      </c>
      <c r="G57" s="512">
        <f t="shared" si="6"/>
        <v>0</v>
      </c>
      <c r="H57" s="478">
        <f t="shared" si="7"/>
        <v>0</v>
      </c>
      <c r="I57" s="501">
        <f t="shared" si="13"/>
        <v>0</v>
      </c>
      <c r="J57" s="501"/>
      <c r="K57" s="513"/>
      <c r="L57" s="505">
        <f t="shared" si="14"/>
        <v>0</v>
      </c>
      <c r="M57" s="513"/>
      <c r="N57" s="505">
        <f t="shared" si="15"/>
        <v>0</v>
      </c>
      <c r="O57" s="505">
        <f t="shared" si="16"/>
        <v>0</v>
      </c>
      <c r="P57" s="279"/>
      <c r="R57" s="244"/>
      <c r="S57" s="244"/>
      <c r="T57" s="244"/>
      <c r="U57" s="244"/>
    </row>
    <row r="58" spans="2:21" ht="12.5">
      <c r="B58" s="145" t="str">
        <f t="shared" si="11"/>
        <v/>
      </c>
      <c r="C58" s="496">
        <f t="shared" si="9"/>
        <v>2053</v>
      </c>
      <c r="D58" s="509"/>
      <c r="E58" s="510">
        <f t="shared" si="10"/>
        <v>0</v>
      </c>
      <c r="F58" s="511">
        <f t="shared" si="12"/>
        <v>0</v>
      </c>
      <c r="G58" s="512">
        <f t="shared" si="6"/>
        <v>0</v>
      </c>
      <c r="H58" s="478">
        <f t="shared" si="7"/>
        <v>0</v>
      </c>
      <c r="I58" s="501">
        <f t="shared" si="13"/>
        <v>0</v>
      </c>
      <c r="J58" s="501"/>
      <c r="K58" s="513"/>
      <c r="L58" s="505">
        <f t="shared" si="14"/>
        <v>0</v>
      </c>
      <c r="M58" s="513"/>
      <c r="N58" s="505">
        <f t="shared" si="15"/>
        <v>0</v>
      </c>
      <c r="O58" s="505">
        <f t="shared" si="16"/>
        <v>0</v>
      </c>
      <c r="P58" s="279"/>
      <c r="R58" s="244"/>
      <c r="S58" s="244"/>
      <c r="T58" s="244"/>
      <c r="U58" s="244"/>
    </row>
    <row r="59" spans="2:21" ht="12.5">
      <c r="B59" s="145" t="str">
        <f t="shared" si="11"/>
        <v/>
      </c>
      <c r="C59" s="496">
        <f t="shared" si="9"/>
        <v>2054</v>
      </c>
      <c r="D59" s="509"/>
      <c r="E59" s="510">
        <f t="shared" si="10"/>
        <v>0</v>
      </c>
      <c r="F59" s="511">
        <f t="shared" si="12"/>
        <v>0</v>
      </c>
      <c r="G59" s="512">
        <f t="shared" si="6"/>
        <v>0</v>
      </c>
      <c r="H59" s="478">
        <f t="shared" si="7"/>
        <v>0</v>
      </c>
      <c r="I59" s="501">
        <f t="shared" si="13"/>
        <v>0</v>
      </c>
      <c r="J59" s="501"/>
      <c r="K59" s="513"/>
      <c r="L59" s="505">
        <f t="shared" si="14"/>
        <v>0</v>
      </c>
      <c r="M59" s="513"/>
      <c r="N59" s="505">
        <f t="shared" si="15"/>
        <v>0</v>
      </c>
      <c r="O59" s="505">
        <f t="shared" si="16"/>
        <v>0</v>
      </c>
      <c r="P59" s="279"/>
      <c r="R59" s="244"/>
      <c r="S59" s="244"/>
      <c r="T59" s="244"/>
      <c r="U59" s="244"/>
    </row>
    <row r="60" spans="2:21" ht="12.5">
      <c r="B60" s="145" t="str">
        <f t="shared" si="11"/>
        <v/>
      </c>
      <c r="C60" s="496">
        <f t="shared" si="9"/>
        <v>2055</v>
      </c>
      <c r="D60" s="509"/>
      <c r="E60" s="510">
        <f t="shared" si="10"/>
        <v>0</v>
      </c>
      <c r="F60" s="511">
        <f t="shared" si="12"/>
        <v>0</v>
      </c>
      <c r="G60" s="512">
        <f t="shared" si="6"/>
        <v>0</v>
      </c>
      <c r="H60" s="478">
        <f t="shared" si="7"/>
        <v>0</v>
      </c>
      <c r="I60" s="501">
        <f t="shared" si="13"/>
        <v>0</v>
      </c>
      <c r="J60" s="501"/>
      <c r="K60" s="513"/>
      <c r="L60" s="505">
        <f t="shared" si="14"/>
        <v>0</v>
      </c>
      <c r="M60" s="513"/>
      <c r="N60" s="505">
        <f t="shared" si="15"/>
        <v>0</v>
      </c>
      <c r="O60" s="505">
        <f t="shared" si="16"/>
        <v>0</v>
      </c>
      <c r="P60" s="279"/>
      <c r="R60" s="244"/>
      <c r="S60" s="244"/>
      <c r="T60" s="244"/>
      <c r="U60" s="244"/>
    </row>
    <row r="61" spans="2:21" ht="12.5">
      <c r="B61" s="145" t="str">
        <f t="shared" si="11"/>
        <v/>
      </c>
      <c r="C61" s="496">
        <f t="shared" si="9"/>
        <v>2056</v>
      </c>
      <c r="D61" s="509"/>
      <c r="E61" s="510">
        <f t="shared" si="10"/>
        <v>0</v>
      </c>
      <c r="F61" s="511">
        <f t="shared" si="12"/>
        <v>0</v>
      </c>
      <c r="G61" s="512">
        <f t="shared" si="6"/>
        <v>0</v>
      </c>
      <c r="H61" s="478">
        <f t="shared" si="7"/>
        <v>0</v>
      </c>
      <c r="I61" s="501">
        <f t="shared" si="13"/>
        <v>0</v>
      </c>
      <c r="J61" s="501"/>
      <c r="K61" s="513"/>
      <c r="L61" s="505">
        <f t="shared" si="14"/>
        <v>0</v>
      </c>
      <c r="M61" s="513"/>
      <c r="N61" s="505">
        <f t="shared" si="15"/>
        <v>0</v>
      </c>
      <c r="O61" s="505">
        <f t="shared" si="16"/>
        <v>0</v>
      </c>
      <c r="P61" s="279"/>
      <c r="R61" s="244"/>
      <c r="S61" s="244"/>
      <c r="T61" s="244"/>
      <c r="U61" s="244"/>
    </row>
    <row r="62" spans="2:21" ht="12.5">
      <c r="B62" s="145" t="str">
        <f t="shared" si="11"/>
        <v/>
      </c>
      <c r="C62" s="496">
        <f t="shared" si="9"/>
        <v>2057</v>
      </c>
      <c r="D62" s="509"/>
      <c r="E62" s="510">
        <f t="shared" si="10"/>
        <v>0</v>
      </c>
      <c r="F62" s="511">
        <f t="shared" si="12"/>
        <v>0</v>
      </c>
      <c r="G62" s="524">
        <f t="shared" si="6"/>
        <v>0</v>
      </c>
      <c r="H62" s="478">
        <f t="shared" si="7"/>
        <v>0</v>
      </c>
      <c r="I62" s="501">
        <f t="shared" si="13"/>
        <v>0</v>
      </c>
      <c r="J62" s="501"/>
      <c r="K62" s="513"/>
      <c r="L62" s="505">
        <f t="shared" si="14"/>
        <v>0</v>
      </c>
      <c r="M62" s="513"/>
      <c r="N62" s="505">
        <f t="shared" si="15"/>
        <v>0</v>
      </c>
      <c r="O62" s="505">
        <f t="shared" si="16"/>
        <v>0</v>
      </c>
      <c r="P62" s="279"/>
      <c r="R62" s="244"/>
      <c r="S62" s="244"/>
      <c r="T62" s="244"/>
      <c r="U62" s="244"/>
    </row>
    <row r="63" spans="2:21" ht="12.5">
      <c r="B63" s="145" t="str">
        <f t="shared" si="11"/>
        <v/>
      </c>
      <c r="C63" s="496">
        <f t="shared" si="9"/>
        <v>2058</v>
      </c>
      <c r="D63" s="509"/>
      <c r="E63" s="510">
        <f t="shared" si="10"/>
        <v>0</v>
      </c>
      <c r="F63" s="511">
        <f t="shared" si="12"/>
        <v>0</v>
      </c>
      <c r="G63" s="524">
        <f t="shared" si="6"/>
        <v>0</v>
      </c>
      <c r="H63" s="478">
        <f t="shared" si="7"/>
        <v>0</v>
      </c>
      <c r="I63" s="501">
        <f t="shared" si="13"/>
        <v>0</v>
      </c>
      <c r="J63" s="501"/>
      <c r="K63" s="513"/>
      <c r="L63" s="505">
        <f t="shared" si="14"/>
        <v>0</v>
      </c>
      <c r="M63" s="513"/>
      <c r="N63" s="505">
        <f t="shared" si="15"/>
        <v>0</v>
      </c>
      <c r="O63" s="505">
        <f t="shared" si="16"/>
        <v>0</v>
      </c>
      <c r="P63" s="279"/>
      <c r="R63" s="244"/>
      <c r="S63" s="244"/>
      <c r="T63" s="244"/>
      <c r="U63" s="244"/>
    </row>
    <row r="64" spans="2:21" ht="12.5">
      <c r="B64" s="145" t="str">
        <f t="shared" si="11"/>
        <v/>
      </c>
      <c r="C64" s="496">
        <f t="shared" si="9"/>
        <v>2059</v>
      </c>
      <c r="D64" s="509"/>
      <c r="E64" s="510">
        <f t="shared" si="10"/>
        <v>0</v>
      </c>
      <c r="F64" s="511">
        <f t="shared" si="12"/>
        <v>0</v>
      </c>
      <c r="G64" s="524">
        <f t="shared" si="6"/>
        <v>0</v>
      </c>
      <c r="H64" s="478">
        <f t="shared" si="7"/>
        <v>0</v>
      </c>
      <c r="I64" s="501">
        <f t="shared" si="13"/>
        <v>0</v>
      </c>
      <c r="J64" s="501"/>
      <c r="K64" s="513"/>
      <c r="L64" s="505">
        <f t="shared" si="14"/>
        <v>0</v>
      </c>
      <c r="M64" s="513"/>
      <c r="N64" s="505">
        <f t="shared" si="15"/>
        <v>0</v>
      </c>
      <c r="O64" s="505">
        <f t="shared" si="16"/>
        <v>0</v>
      </c>
      <c r="P64" s="279"/>
      <c r="R64" s="244"/>
      <c r="S64" s="244"/>
      <c r="T64" s="244"/>
      <c r="U64" s="244"/>
    </row>
    <row r="65" spans="2:21" ht="12.5">
      <c r="B65" s="145" t="str">
        <f t="shared" si="11"/>
        <v/>
      </c>
      <c r="C65" s="496">
        <f t="shared" si="9"/>
        <v>2060</v>
      </c>
      <c r="D65" s="509"/>
      <c r="E65" s="510">
        <f t="shared" si="10"/>
        <v>0</v>
      </c>
      <c r="F65" s="511">
        <f t="shared" si="12"/>
        <v>0</v>
      </c>
      <c r="G65" s="524">
        <f t="shared" si="6"/>
        <v>0</v>
      </c>
      <c r="H65" s="478">
        <f t="shared" si="7"/>
        <v>0</v>
      </c>
      <c r="I65" s="501">
        <f t="shared" si="13"/>
        <v>0</v>
      </c>
      <c r="J65" s="501"/>
      <c r="K65" s="513"/>
      <c r="L65" s="505">
        <f t="shared" si="14"/>
        <v>0</v>
      </c>
      <c r="M65" s="513"/>
      <c r="N65" s="505">
        <f t="shared" si="15"/>
        <v>0</v>
      </c>
      <c r="O65" s="505">
        <f t="shared" si="16"/>
        <v>0</v>
      </c>
      <c r="P65" s="279"/>
      <c r="R65" s="244"/>
      <c r="S65" s="244"/>
      <c r="T65" s="244"/>
      <c r="U65" s="244"/>
    </row>
    <row r="66" spans="2:21" ht="12.5">
      <c r="B66" s="145" t="str">
        <f t="shared" si="11"/>
        <v/>
      </c>
      <c r="C66" s="496">
        <f t="shared" si="9"/>
        <v>2061</v>
      </c>
      <c r="D66" s="509"/>
      <c r="E66" s="510">
        <f t="shared" si="10"/>
        <v>0</v>
      </c>
      <c r="F66" s="511">
        <f t="shared" si="12"/>
        <v>0</v>
      </c>
      <c r="G66" s="524">
        <f t="shared" si="6"/>
        <v>0</v>
      </c>
      <c r="H66" s="478">
        <f t="shared" si="7"/>
        <v>0</v>
      </c>
      <c r="I66" s="501">
        <f t="shared" si="13"/>
        <v>0</v>
      </c>
      <c r="J66" s="501"/>
      <c r="K66" s="513"/>
      <c r="L66" s="505">
        <f t="shared" si="14"/>
        <v>0</v>
      </c>
      <c r="M66" s="513"/>
      <c r="N66" s="505">
        <f t="shared" si="15"/>
        <v>0</v>
      </c>
      <c r="O66" s="505">
        <f t="shared" si="16"/>
        <v>0</v>
      </c>
      <c r="P66" s="279"/>
      <c r="R66" s="244"/>
      <c r="S66" s="244"/>
      <c r="T66" s="244"/>
      <c r="U66" s="244"/>
    </row>
    <row r="67" spans="2:21" ht="12.5">
      <c r="B67" s="145" t="str">
        <f t="shared" si="11"/>
        <v/>
      </c>
      <c r="C67" s="496">
        <f t="shared" si="9"/>
        <v>2062</v>
      </c>
      <c r="D67" s="509"/>
      <c r="E67" s="510">
        <f t="shared" si="10"/>
        <v>0</v>
      </c>
      <c r="F67" s="511">
        <f t="shared" si="12"/>
        <v>0</v>
      </c>
      <c r="G67" s="524">
        <f t="shared" si="6"/>
        <v>0</v>
      </c>
      <c r="H67" s="478">
        <f t="shared" si="7"/>
        <v>0</v>
      </c>
      <c r="I67" s="501">
        <f t="shared" si="13"/>
        <v>0</v>
      </c>
      <c r="J67" s="501"/>
      <c r="K67" s="513"/>
      <c r="L67" s="505">
        <f t="shared" si="14"/>
        <v>0</v>
      </c>
      <c r="M67" s="513"/>
      <c r="N67" s="505">
        <f t="shared" si="15"/>
        <v>0</v>
      </c>
      <c r="O67" s="505">
        <f t="shared" si="16"/>
        <v>0</v>
      </c>
      <c r="P67" s="279"/>
      <c r="R67" s="244"/>
      <c r="S67" s="244"/>
      <c r="T67" s="244"/>
      <c r="U67" s="244"/>
    </row>
    <row r="68" spans="2:21" ht="12.5">
      <c r="B68" s="145" t="str">
        <f t="shared" si="11"/>
        <v/>
      </c>
      <c r="C68" s="496">
        <f t="shared" si="9"/>
        <v>2063</v>
      </c>
      <c r="D68" s="509"/>
      <c r="E68" s="510">
        <f t="shared" si="10"/>
        <v>0</v>
      </c>
      <c r="F68" s="511">
        <f t="shared" si="12"/>
        <v>0</v>
      </c>
      <c r="G68" s="524">
        <f t="shared" si="6"/>
        <v>0</v>
      </c>
      <c r="H68" s="478">
        <f t="shared" si="7"/>
        <v>0</v>
      </c>
      <c r="I68" s="501">
        <f t="shared" si="13"/>
        <v>0</v>
      </c>
      <c r="J68" s="501"/>
      <c r="K68" s="513"/>
      <c r="L68" s="505">
        <f t="shared" si="14"/>
        <v>0</v>
      </c>
      <c r="M68" s="513"/>
      <c r="N68" s="505">
        <f t="shared" si="15"/>
        <v>0</v>
      </c>
      <c r="O68" s="505">
        <f t="shared" si="16"/>
        <v>0</v>
      </c>
      <c r="P68" s="279"/>
      <c r="R68" s="244"/>
      <c r="S68" s="244"/>
      <c r="T68" s="244"/>
      <c r="U68" s="244"/>
    </row>
    <row r="69" spans="2:21" ht="12.5">
      <c r="B69" s="145" t="str">
        <f t="shared" si="11"/>
        <v/>
      </c>
      <c r="C69" s="496">
        <f t="shared" si="9"/>
        <v>2064</v>
      </c>
      <c r="D69" s="509"/>
      <c r="E69" s="510">
        <f t="shared" si="10"/>
        <v>0</v>
      </c>
      <c r="F69" s="511">
        <f t="shared" si="12"/>
        <v>0</v>
      </c>
      <c r="G69" s="524">
        <f t="shared" si="6"/>
        <v>0</v>
      </c>
      <c r="H69" s="478">
        <f t="shared" si="7"/>
        <v>0</v>
      </c>
      <c r="I69" s="501">
        <f t="shared" si="13"/>
        <v>0</v>
      </c>
      <c r="J69" s="501"/>
      <c r="K69" s="513"/>
      <c r="L69" s="505">
        <f t="shared" si="14"/>
        <v>0</v>
      </c>
      <c r="M69" s="513"/>
      <c r="N69" s="505">
        <f t="shared" si="15"/>
        <v>0</v>
      </c>
      <c r="O69" s="505">
        <f t="shared" si="16"/>
        <v>0</v>
      </c>
      <c r="P69" s="279"/>
      <c r="R69" s="244"/>
      <c r="S69" s="244"/>
      <c r="T69" s="244"/>
      <c r="U69" s="244"/>
    </row>
    <row r="70" spans="2:21" ht="12.5">
      <c r="B70" s="145" t="str">
        <f t="shared" si="11"/>
        <v/>
      </c>
      <c r="C70" s="496">
        <f t="shared" si="9"/>
        <v>2065</v>
      </c>
      <c r="D70" s="509"/>
      <c r="E70" s="510">
        <f t="shared" si="10"/>
        <v>0</v>
      </c>
      <c r="F70" s="511">
        <f t="shared" si="12"/>
        <v>0</v>
      </c>
      <c r="G70" s="524">
        <f t="shared" si="6"/>
        <v>0</v>
      </c>
      <c r="H70" s="478">
        <f t="shared" si="7"/>
        <v>0</v>
      </c>
      <c r="I70" s="501">
        <f t="shared" si="13"/>
        <v>0</v>
      </c>
      <c r="J70" s="501"/>
      <c r="K70" s="513"/>
      <c r="L70" s="505">
        <f t="shared" si="14"/>
        <v>0</v>
      </c>
      <c r="M70" s="513"/>
      <c r="N70" s="505">
        <f t="shared" si="15"/>
        <v>0</v>
      </c>
      <c r="O70" s="505">
        <f t="shared" si="16"/>
        <v>0</v>
      </c>
      <c r="P70" s="279"/>
      <c r="R70" s="244"/>
      <c r="S70" s="244"/>
      <c r="T70" s="244"/>
      <c r="U70" s="244"/>
    </row>
    <row r="71" spans="2:21" ht="12.5">
      <c r="B71" s="145" t="str">
        <f t="shared" si="11"/>
        <v/>
      </c>
      <c r="C71" s="496">
        <f t="shared" si="9"/>
        <v>2066</v>
      </c>
      <c r="D71" s="509"/>
      <c r="E71" s="510">
        <f t="shared" si="10"/>
        <v>0</v>
      </c>
      <c r="F71" s="511">
        <f t="shared" si="12"/>
        <v>0</v>
      </c>
      <c r="G71" s="524">
        <f t="shared" si="6"/>
        <v>0</v>
      </c>
      <c r="H71" s="478">
        <f t="shared" si="7"/>
        <v>0</v>
      </c>
      <c r="I71" s="501">
        <f t="shared" si="13"/>
        <v>0</v>
      </c>
      <c r="J71" s="501"/>
      <c r="K71" s="513"/>
      <c r="L71" s="505">
        <f t="shared" si="14"/>
        <v>0</v>
      </c>
      <c r="M71" s="513"/>
      <c r="N71" s="505">
        <f t="shared" si="15"/>
        <v>0</v>
      </c>
      <c r="O71" s="505">
        <f t="shared" si="16"/>
        <v>0</v>
      </c>
      <c r="P71" s="279"/>
      <c r="R71" s="244"/>
      <c r="S71" s="244"/>
      <c r="T71" s="244"/>
      <c r="U71" s="244"/>
    </row>
    <row r="72" spans="2:21" ht="12.5">
      <c r="B72" s="145" t="str">
        <f t="shared" si="11"/>
        <v/>
      </c>
      <c r="C72" s="496">
        <f t="shared" si="9"/>
        <v>2067</v>
      </c>
      <c r="D72" s="509"/>
      <c r="E72" s="510">
        <f t="shared" si="10"/>
        <v>0</v>
      </c>
      <c r="F72" s="511">
        <f t="shared" si="12"/>
        <v>0</v>
      </c>
      <c r="G72" s="524">
        <f t="shared" si="6"/>
        <v>0</v>
      </c>
      <c r="H72" s="478">
        <f t="shared" si="7"/>
        <v>0</v>
      </c>
      <c r="I72" s="501">
        <f t="shared" si="13"/>
        <v>0</v>
      </c>
      <c r="J72" s="501"/>
      <c r="K72" s="513"/>
      <c r="L72" s="505">
        <f t="shared" si="14"/>
        <v>0</v>
      </c>
      <c r="M72" s="513"/>
      <c r="N72" s="505">
        <f t="shared" si="15"/>
        <v>0</v>
      </c>
      <c r="O72" s="505">
        <f t="shared" si="16"/>
        <v>0</v>
      </c>
      <c r="P72" s="279"/>
      <c r="R72" s="244"/>
      <c r="S72" s="244"/>
      <c r="T72" s="244"/>
      <c r="U72" s="244"/>
    </row>
    <row r="73" spans="2:21" ht="13" thickBot="1">
      <c r="B73" s="145" t="str">
        <f t="shared" si="11"/>
        <v/>
      </c>
      <c r="C73" s="525">
        <f t="shared" si="9"/>
        <v>2068</v>
      </c>
      <c r="D73" s="526"/>
      <c r="E73" s="527">
        <f t="shared" si="10"/>
        <v>0</v>
      </c>
      <c r="F73" s="528">
        <f t="shared" si="12"/>
        <v>0</v>
      </c>
      <c r="G73" s="529">
        <f t="shared" si="6"/>
        <v>0</v>
      </c>
      <c r="H73" s="459">
        <f t="shared" si="7"/>
        <v>0</v>
      </c>
      <c r="I73" s="530">
        <f t="shared" si="13"/>
        <v>0</v>
      </c>
      <c r="J73" s="501"/>
      <c r="K73" s="531"/>
      <c r="L73" s="532">
        <f t="shared" si="14"/>
        <v>0</v>
      </c>
      <c r="M73" s="531"/>
      <c r="N73" s="532">
        <f t="shared" si="15"/>
        <v>0</v>
      </c>
      <c r="O73" s="532">
        <f t="shared" si="16"/>
        <v>0</v>
      </c>
      <c r="P73" s="279"/>
      <c r="R73" s="244"/>
      <c r="S73" s="244"/>
      <c r="T73" s="244"/>
      <c r="U73" s="244"/>
    </row>
    <row r="74" spans="2:21" ht="12.5">
      <c r="C74" s="350" t="s">
        <v>75</v>
      </c>
      <c r="D74" s="295"/>
      <c r="E74" s="295">
        <f>SUM(E17:E73)</f>
        <v>45573.039110189922</v>
      </c>
      <c r="F74" s="295"/>
      <c r="G74" s="295">
        <f>SUM(G17:G73)</f>
        <v>423078.95453720703</v>
      </c>
      <c r="H74" s="295">
        <f>SUM(H17:H73)</f>
        <v>423078.95453720703</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5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0</v>
      </c>
      <c r="N88" s="545">
        <f>IF(J93&lt;D11,0,VLOOKUP(J93,C17:O73,11))</f>
        <v>0</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0</v>
      </c>
      <c r="N89" s="549">
        <f>IF(J93&lt;D11,0,VLOOKUP(J93,C100:P155,7))</f>
        <v>0</v>
      </c>
      <c r="O89" s="550">
        <f>+N89-M89</f>
        <v>0</v>
      </c>
      <c r="P89" s="244"/>
      <c r="Q89" s="244"/>
      <c r="R89" s="244"/>
      <c r="S89" s="244"/>
      <c r="T89" s="244"/>
      <c r="U89" s="244"/>
    </row>
    <row r="90" spans="1:21" ht="13.5" thickBot="1">
      <c r="C90" s="455" t="s">
        <v>82</v>
      </c>
      <c r="D90" s="551" t="str">
        <f>+D7</f>
        <v>Install 345kV terminal at Valliant***</v>
      </c>
      <c r="E90" s="244"/>
      <c r="F90" s="244"/>
      <c r="G90" s="244"/>
      <c r="H90" s="244"/>
      <c r="I90" s="326"/>
      <c r="J90" s="326"/>
      <c r="K90" s="552"/>
      <c r="L90" s="553" t="s">
        <v>135</v>
      </c>
      <c r="M90" s="554">
        <f>+M89-M88</f>
        <v>0</v>
      </c>
      <c r="N90" s="554">
        <f>+N89-N88</f>
        <v>0</v>
      </c>
      <c r="O90" s="555">
        <f>+O89-O88</f>
        <v>0</v>
      </c>
      <c r="P90" s="244"/>
      <c r="Q90" s="244"/>
      <c r="R90" s="244"/>
      <c r="S90" s="244"/>
      <c r="T90" s="244"/>
      <c r="U90" s="244"/>
    </row>
    <row r="91" spans="1:21" ht="13.5" thickBot="1">
      <c r="C91" s="533"/>
      <c r="D91" s="605" t="s">
        <v>210</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TP2007167</v>
      </c>
      <c r="E92" s="559"/>
      <c r="F92" s="559"/>
      <c r="G92" s="559"/>
      <c r="H92" s="559"/>
      <c r="I92" s="559"/>
      <c r="J92" s="559"/>
      <c r="K92" s="561"/>
      <c r="P92" s="469"/>
      <c r="Q92" s="244"/>
      <c r="R92" s="244"/>
      <c r="S92" s="244"/>
      <c r="T92" s="244"/>
      <c r="U92" s="244"/>
    </row>
    <row r="93" spans="1:21" ht="13">
      <c r="C93" s="473" t="s">
        <v>49</v>
      </c>
      <c r="D93" s="583">
        <f>IF(D11=I10,0,D10)</f>
        <v>0</v>
      </c>
      <c r="E93" s="249" t="s">
        <v>84</v>
      </c>
      <c r="H93" s="409"/>
      <c r="I93" s="409"/>
      <c r="J93" s="472">
        <f>+'OKT.WS.G.BPU.ATRR.True-up'!M16</f>
        <v>2023</v>
      </c>
      <c r="K93" s="468"/>
      <c r="L93" s="295" t="s">
        <v>85</v>
      </c>
      <c r="P93" s="279"/>
      <c r="Q93" s="244"/>
      <c r="R93" s="244"/>
      <c r="S93" s="244"/>
      <c r="T93" s="244"/>
      <c r="U93" s="244"/>
    </row>
    <row r="94" spans="1:21" ht="12.5">
      <c r="C94" s="473" t="s">
        <v>52</v>
      </c>
      <c r="D94" s="562">
        <f>IF(D11=I10,"",D11)</f>
        <v>2012</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562">
        <f>IF(D11=I10,"",D12)</f>
        <v>4</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0</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31" si="17">IF(D100=F99,"","IU")</f>
        <v>IU</v>
      </c>
      <c r="C100" s="496">
        <f>IF(D94= "","-",D94)</f>
        <v>2012</v>
      </c>
      <c r="D100" s="350">
        <f>IF(D94=C100,0,IF(D93&lt;100000,0,D93))</f>
        <v>0</v>
      </c>
      <c r="E100" s="512">
        <f>IF(OR(D11=I10,D93&lt;100000),0,J97/12*(12-D95))</f>
        <v>0</v>
      </c>
      <c r="F100" s="511">
        <f>IF(D94=C100,+D93-E100,+D100-E100)</f>
        <v>0</v>
      </c>
      <c r="G100" s="606">
        <f t="shared" ref="G100:G131" si="18">+(F100+D100)/2</f>
        <v>0</v>
      </c>
      <c r="H100" s="606">
        <f t="shared" ref="H100:H131" si="19">+J$95*G100+E100</f>
        <v>0</v>
      </c>
      <c r="I100" s="606">
        <f t="shared" ref="I100:I131" si="20">+J$96*G100+E100</f>
        <v>0</v>
      </c>
      <c r="J100" s="505">
        <f t="shared" ref="J100:J131" si="21">+I100-H100</f>
        <v>0</v>
      </c>
      <c r="K100" s="505"/>
      <c r="L100" s="607"/>
      <c r="M100" s="504">
        <f t="shared" ref="M100:M131" si="22">IF(L100&lt;&gt;0,+H100-L100,0)</f>
        <v>0</v>
      </c>
      <c r="N100" s="607"/>
      <c r="O100" s="504">
        <f t="shared" ref="O100:O131" si="23">IF(N100&lt;&gt;0,+I100-N100,0)</f>
        <v>0</v>
      </c>
      <c r="P100" s="504">
        <f t="shared" ref="P100:P131" si="24">+O100-M100</f>
        <v>0</v>
      </c>
      <c r="Q100" s="244"/>
      <c r="R100" s="244"/>
      <c r="S100" s="244"/>
      <c r="T100" s="244"/>
      <c r="U100" s="244"/>
    </row>
    <row r="101" spans="1:21" ht="12.5">
      <c r="B101" s="145" t="str">
        <f t="shared" si="17"/>
        <v/>
      </c>
      <c r="C101" s="496">
        <f>IF(D94="","-",+C100+1)</f>
        <v>2013</v>
      </c>
      <c r="D101" s="350">
        <f>IF(F100+SUM(E$100:E100)=D$93,F100,D$93-SUM(E$100:E100))</f>
        <v>0</v>
      </c>
      <c r="E101" s="510">
        <f>IF(+J97&lt;F100,J97,D101)</f>
        <v>0</v>
      </c>
      <c r="F101" s="511">
        <f t="shared" ref="F101:F132" si="25">+D101-E101</f>
        <v>0</v>
      </c>
      <c r="G101" s="511">
        <f t="shared" si="18"/>
        <v>0</v>
      </c>
      <c r="H101" s="524">
        <f t="shared" si="19"/>
        <v>0</v>
      </c>
      <c r="I101" s="573">
        <f t="shared" si="20"/>
        <v>0</v>
      </c>
      <c r="J101" s="505">
        <f t="shared" si="21"/>
        <v>0</v>
      </c>
      <c r="K101" s="505"/>
      <c r="L101" s="513"/>
      <c r="M101" s="505">
        <f t="shared" si="22"/>
        <v>0</v>
      </c>
      <c r="N101" s="513"/>
      <c r="O101" s="505">
        <f t="shared" si="23"/>
        <v>0</v>
      </c>
      <c r="P101" s="505">
        <f t="shared" si="24"/>
        <v>0</v>
      </c>
      <c r="Q101" s="244"/>
      <c r="R101" s="244"/>
      <c r="S101" s="244"/>
      <c r="T101" s="244"/>
      <c r="U101" s="244"/>
    </row>
    <row r="102" spans="1:21" ht="12.5">
      <c r="B102" s="145" t="str">
        <f t="shared" si="17"/>
        <v/>
      </c>
      <c r="C102" s="496">
        <f>IF(D94="","-",+C101+1)</f>
        <v>2014</v>
      </c>
      <c r="D102" s="350">
        <f>IF(F101+SUM(E$100:E101)=D$93,F101,D$93-SUM(E$100:E101))</f>
        <v>0</v>
      </c>
      <c r="E102" s="510">
        <f>IF(+J97&lt;F101,J97,D102)</f>
        <v>0</v>
      </c>
      <c r="F102" s="511">
        <f t="shared" si="25"/>
        <v>0</v>
      </c>
      <c r="G102" s="511">
        <f t="shared" si="18"/>
        <v>0</v>
      </c>
      <c r="H102" s="524">
        <f t="shared" si="19"/>
        <v>0</v>
      </c>
      <c r="I102" s="573">
        <f t="shared" si="20"/>
        <v>0</v>
      </c>
      <c r="J102" s="505">
        <f t="shared" si="21"/>
        <v>0</v>
      </c>
      <c r="K102" s="505"/>
      <c r="L102" s="513"/>
      <c r="M102" s="505">
        <f t="shared" si="22"/>
        <v>0</v>
      </c>
      <c r="N102" s="513"/>
      <c r="O102" s="505">
        <f t="shared" si="23"/>
        <v>0</v>
      </c>
      <c r="P102" s="505">
        <f t="shared" si="24"/>
        <v>0</v>
      </c>
      <c r="Q102" s="244"/>
      <c r="R102" s="244"/>
      <c r="S102" s="244"/>
      <c r="T102" s="244"/>
      <c r="U102" s="244"/>
    </row>
    <row r="103" spans="1:21" ht="12.5">
      <c r="B103" s="145" t="str">
        <f t="shared" si="17"/>
        <v/>
      </c>
      <c r="C103" s="496">
        <f>IF(D94="","-",+C102+1)</f>
        <v>2015</v>
      </c>
      <c r="D103" s="350">
        <f>IF(F102+SUM(E$100:E102)=D$93,F102,D$93-SUM(E$100:E102))</f>
        <v>0</v>
      </c>
      <c r="E103" s="510">
        <f>IF(+J97&lt;F102,J97,D103)</f>
        <v>0</v>
      </c>
      <c r="F103" s="511">
        <f t="shared" si="25"/>
        <v>0</v>
      </c>
      <c r="G103" s="511">
        <f t="shared" si="18"/>
        <v>0</v>
      </c>
      <c r="H103" s="524">
        <f t="shared" si="19"/>
        <v>0</v>
      </c>
      <c r="I103" s="573">
        <f t="shared" si="20"/>
        <v>0</v>
      </c>
      <c r="J103" s="505">
        <f t="shared" si="21"/>
        <v>0</v>
      </c>
      <c r="K103" s="505"/>
      <c r="L103" s="513"/>
      <c r="M103" s="505">
        <f t="shared" si="22"/>
        <v>0</v>
      </c>
      <c r="N103" s="513"/>
      <c r="O103" s="505">
        <f t="shared" si="23"/>
        <v>0</v>
      </c>
      <c r="P103" s="505">
        <f t="shared" si="24"/>
        <v>0</v>
      </c>
      <c r="Q103" s="244"/>
      <c r="R103" s="244"/>
      <c r="S103" s="244"/>
      <c r="T103" s="244"/>
      <c r="U103" s="244"/>
    </row>
    <row r="104" spans="1:21" ht="12.5">
      <c r="B104" s="145" t="str">
        <f t="shared" si="17"/>
        <v/>
      </c>
      <c r="C104" s="496">
        <f>IF(D94="","-",+C103+1)</f>
        <v>2016</v>
      </c>
      <c r="D104" s="350">
        <f>IF(F103+SUM(E$100:E103)=D$93,F103,D$93-SUM(E$100:E103))</f>
        <v>0</v>
      </c>
      <c r="E104" s="510">
        <f>IF(+J97&lt;F103,J97,D104)</f>
        <v>0</v>
      </c>
      <c r="F104" s="511">
        <f t="shared" si="25"/>
        <v>0</v>
      </c>
      <c r="G104" s="511">
        <f t="shared" si="18"/>
        <v>0</v>
      </c>
      <c r="H104" s="524">
        <f t="shared" si="19"/>
        <v>0</v>
      </c>
      <c r="I104" s="573">
        <f t="shared" si="20"/>
        <v>0</v>
      </c>
      <c r="J104" s="505">
        <f t="shared" si="21"/>
        <v>0</v>
      </c>
      <c r="K104" s="505"/>
      <c r="L104" s="513"/>
      <c r="M104" s="505">
        <f t="shared" si="22"/>
        <v>0</v>
      </c>
      <c r="N104" s="513"/>
      <c r="O104" s="505">
        <f t="shared" si="23"/>
        <v>0</v>
      </c>
      <c r="P104" s="505">
        <f t="shared" si="24"/>
        <v>0</v>
      </c>
      <c r="Q104" s="244"/>
      <c r="R104" s="244"/>
      <c r="S104" s="244"/>
      <c r="T104" s="244"/>
      <c r="U104" s="244"/>
    </row>
    <row r="105" spans="1:21" ht="12.5">
      <c r="B105" s="145" t="str">
        <f t="shared" si="17"/>
        <v/>
      </c>
      <c r="C105" s="496">
        <f>IF(D94="","-",+C104+1)</f>
        <v>2017</v>
      </c>
      <c r="D105" s="350">
        <f>IF(F104+SUM(E$100:E104)=D$93,F104,D$93-SUM(E$100:E104))</f>
        <v>0</v>
      </c>
      <c r="E105" s="510">
        <f>IF(+J97&lt;F104,J97,D105)</f>
        <v>0</v>
      </c>
      <c r="F105" s="511">
        <f t="shared" si="25"/>
        <v>0</v>
      </c>
      <c r="G105" s="511">
        <f t="shared" si="18"/>
        <v>0</v>
      </c>
      <c r="H105" s="524">
        <f t="shared" si="19"/>
        <v>0</v>
      </c>
      <c r="I105" s="573">
        <f t="shared" si="20"/>
        <v>0</v>
      </c>
      <c r="J105" s="505">
        <f t="shared" si="21"/>
        <v>0</v>
      </c>
      <c r="K105" s="505"/>
      <c r="L105" s="513"/>
      <c r="M105" s="505">
        <f t="shared" si="22"/>
        <v>0</v>
      </c>
      <c r="N105" s="513"/>
      <c r="O105" s="505">
        <f t="shared" si="23"/>
        <v>0</v>
      </c>
      <c r="P105" s="505">
        <f t="shared" si="24"/>
        <v>0</v>
      </c>
      <c r="Q105" s="244"/>
      <c r="R105" s="244"/>
      <c r="S105" s="244"/>
      <c r="T105" s="244"/>
      <c r="U105" s="244"/>
    </row>
    <row r="106" spans="1:21" ht="12.5">
      <c r="B106" s="145" t="str">
        <f t="shared" si="17"/>
        <v/>
      </c>
      <c r="C106" s="496">
        <f>IF(D94="","-",+C105+1)</f>
        <v>2018</v>
      </c>
      <c r="D106" s="350">
        <f>IF(F105+SUM(E$100:E105)=D$93,F105,D$93-SUM(E$100:E105))</f>
        <v>0</v>
      </c>
      <c r="E106" s="510">
        <f>IF(+J97&lt;F105,J97,D106)</f>
        <v>0</v>
      </c>
      <c r="F106" s="511">
        <f t="shared" si="25"/>
        <v>0</v>
      </c>
      <c r="G106" s="511">
        <f t="shared" si="18"/>
        <v>0</v>
      </c>
      <c r="H106" s="524">
        <f t="shared" si="19"/>
        <v>0</v>
      </c>
      <c r="I106" s="573">
        <f t="shared" si="20"/>
        <v>0</v>
      </c>
      <c r="J106" s="505">
        <f t="shared" si="21"/>
        <v>0</v>
      </c>
      <c r="K106" s="505"/>
      <c r="L106" s="513"/>
      <c r="M106" s="505">
        <f t="shared" si="22"/>
        <v>0</v>
      </c>
      <c r="N106" s="513"/>
      <c r="O106" s="505">
        <f t="shared" si="23"/>
        <v>0</v>
      </c>
      <c r="P106" s="505">
        <f t="shared" si="24"/>
        <v>0</v>
      </c>
      <c r="Q106" s="244"/>
      <c r="R106" s="244"/>
      <c r="S106" s="244"/>
      <c r="T106" s="244"/>
      <c r="U106" s="244"/>
    </row>
    <row r="107" spans="1:21" ht="12.5">
      <c r="B107" s="145" t="str">
        <f t="shared" si="17"/>
        <v/>
      </c>
      <c r="C107" s="496">
        <f>IF(D94="","-",+C106+1)</f>
        <v>2019</v>
      </c>
      <c r="D107" s="350">
        <f>IF(F106+SUM(E$100:E106)=D$93,F106,D$93-SUM(E$100:E106))</f>
        <v>0</v>
      </c>
      <c r="E107" s="510">
        <f>IF(+J97&lt;F106,J97,D107)</f>
        <v>0</v>
      </c>
      <c r="F107" s="511">
        <f t="shared" si="25"/>
        <v>0</v>
      </c>
      <c r="G107" s="511">
        <f t="shared" si="18"/>
        <v>0</v>
      </c>
      <c r="H107" s="524">
        <f t="shared" si="19"/>
        <v>0</v>
      </c>
      <c r="I107" s="573">
        <f t="shared" si="20"/>
        <v>0</v>
      </c>
      <c r="J107" s="505">
        <f t="shared" si="21"/>
        <v>0</v>
      </c>
      <c r="K107" s="505"/>
      <c r="L107" s="513"/>
      <c r="M107" s="505">
        <f t="shared" si="22"/>
        <v>0</v>
      </c>
      <c r="N107" s="513"/>
      <c r="O107" s="505">
        <f t="shared" si="23"/>
        <v>0</v>
      </c>
      <c r="P107" s="505">
        <f t="shared" si="24"/>
        <v>0</v>
      </c>
      <c r="Q107" s="244"/>
      <c r="R107" s="244"/>
      <c r="S107" s="244"/>
      <c r="T107" s="244"/>
      <c r="U107" s="244"/>
    </row>
    <row r="108" spans="1:21" ht="12.5">
      <c r="B108" s="145" t="str">
        <f t="shared" si="17"/>
        <v/>
      </c>
      <c r="C108" s="496">
        <f>IF(D94="","-",+C107+1)</f>
        <v>2020</v>
      </c>
      <c r="D108" s="350">
        <f>IF(F107+SUM(E$100:E107)=D$93,F107,D$93-SUM(E$100:E107))</f>
        <v>0</v>
      </c>
      <c r="E108" s="510">
        <f>IF(+J97&lt;F107,J97,D108)</f>
        <v>0</v>
      </c>
      <c r="F108" s="511">
        <f t="shared" si="25"/>
        <v>0</v>
      </c>
      <c r="G108" s="511">
        <f t="shared" si="18"/>
        <v>0</v>
      </c>
      <c r="H108" s="524">
        <f t="shared" si="19"/>
        <v>0</v>
      </c>
      <c r="I108" s="573">
        <f t="shared" si="20"/>
        <v>0</v>
      </c>
      <c r="J108" s="505">
        <f t="shared" si="21"/>
        <v>0</v>
      </c>
      <c r="K108" s="505"/>
      <c r="L108" s="513"/>
      <c r="M108" s="505">
        <f t="shared" si="22"/>
        <v>0</v>
      </c>
      <c r="N108" s="513"/>
      <c r="O108" s="505">
        <f t="shared" si="23"/>
        <v>0</v>
      </c>
      <c r="P108" s="505">
        <f t="shared" si="24"/>
        <v>0</v>
      </c>
      <c r="Q108" s="244"/>
      <c r="R108" s="244"/>
      <c r="S108" s="244"/>
      <c r="T108" s="244"/>
      <c r="U108" s="244"/>
    </row>
    <row r="109" spans="1:21" ht="12.5">
      <c r="B109" s="145" t="str">
        <f t="shared" si="17"/>
        <v/>
      </c>
      <c r="C109" s="496">
        <f>IF(D94="","-",+C108+1)</f>
        <v>2021</v>
      </c>
      <c r="D109" s="350">
        <f>IF(F108+SUM(E$100:E108)=D$93,F108,D$93-SUM(E$100:E108))</f>
        <v>0</v>
      </c>
      <c r="E109" s="510">
        <f>IF(+J97&lt;F108,J97,D109)</f>
        <v>0</v>
      </c>
      <c r="F109" s="511">
        <f t="shared" si="25"/>
        <v>0</v>
      </c>
      <c r="G109" s="511">
        <f t="shared" si="18"/>
        <v>0</v>
      </c>
      <c r="H109" s="524">
        <f t="shared" si="19"/>
        <v>0</v>
      </c>
      <c r="I109" s="573">
        <f t="shared" si="20"/>
        <v>0</v>
      </c>
      <c r="J109" s="505">
        <f t="shared" si="21"/>
        <v>0</v>
      </c>
      <c r="K109" s="505"/>
      <c r="L109" s="513"/>
      <c r="M109" s="505">
        <f t="shared" si="22"/>
        <v>0</v>
      </c>
      <c r="N109" s="513"/>
      <c r="O109" s="505">
        <f t="shared" si="23"/>
        <v>0</v>
      </c>
      <c r="P109" s="505">
        <f t="shared" si="24"/>
        <v>0</v>
      </c>
      <c r="Q109" s="244"/>
      <c r="R109" s="244"/>
      <c r="S109" s="244"/>
      <c r="T109" s="244"/>
      <c r="U109" s="244"/>
    </row>
    <row r="110" spans="1:21" ht="12.5">
      <c r="B110" s="145" t="str">
        <f t="shared" si="17"/>
        <v/>
      </c>
      <c r="C110" s="496">
        <f>IF(D94="","-",+C109+1)</f>
        <v>2022</v>
      </c>
      <c r="D110" s="350">
        <f>IF(F109+SUM(E$100:E109)=D$93,F109,D$93-SUM(E$100:E109))</f>
        <v>0</v>
      </c>
      <c r="E110" s="510">
        <f>IF(+J97&lt;F109,J97,D110)</f>
        <v>0</v>
      </c>
      <c r="F110" s="511">
        <f t="shared" si="25"/>
        <v>0</v>
      </c>
      <c r="G110" s="511">
        <f t="shared" si="18"/>
        <v>0</v>
      </c>
      <c r="H110" s="524">
        <f t="shared" si="19"/>
        <v>0</v>
      </c>
      <c r="I110" s="573">
        <f t="shared" si="20"/>
        <v>0</v>
      </c>
      <c r="J110" s="505">
        <f t="shared" si="21"/>
        <v>0</v>
      </c>
      <c r="K110" s="505"/>
      <c r="L110" s="513"/>
      <c r="M110" s="505">
        <f t="shared" si="22"/>
        <v>0</v>
      </c>
      <c r="N110" s="513"/>
      <c r="O110" s="505">
        <f t="shared" si="23"/>
        <v>0</v>
      </c>
      <c r="P110" s="505">
        <f t="shared" si="24"/>
        <v>0</v>
      </c>
      <c r="Q110" s="244"/>
      <c r="R110" s="244"/>
      <c r="S110" s="244"/>
      <c r="T110" s="244"/>
      <c r="U110" s="244"/>
    </row>
    <row r="111" spans="1:21" ht="12.5">
      <c r="B111" s="145" t="str">
        <f t="shared" si="17"/>
        <v/>
      </c>
      <c r="C111" s="496">
        <f>IF(D94="","-",+C110+1)</f>
        <v>2023</v>
      </c>
      <c r="D111" s="350">
        <f>IF(F110+SUM(E$100:E110)=D$93,F110,D$93-SUM(E$100:E110))</f>
        <v>0</v>
      </c>
      <c r="E111" s="510">
        <f>IF(+J97&lt;F110,J97,D111)</f>
        <v>0</v>
      </c>
      <c r="F111" s="511">
        <f t="shared" si="25"/>
        <v>0</v>
      </c>
      <c r="G111" s="511">
        <f t="shared" si="18"/>
        <v>0</v>
      </c>
      <c r="H111" s="524">
        <f t="shared" si="19"/>
        <v>0</v>
      </c>
      <c r="I111" s="573">
        <f t="shared" si="20"/>
        <v>0</v>
      </c>
      <c r="J111" s="505">
        <f t="shared" si="21"/>
        <v>0</v>
      </c>
      <c r="K111" s="505"/>
      <c r="L111" s="513"/>
      <c r="M111" s="505">
        <f t="shared" si="22"/>
        <v>0</v>
      </c>
      <c r="N111" s="513"/>
      <c r="O111" s="505">
        <f t="shared" si="23"/>
        <v>0</v>
      </c>
      <c r="P111" s="505">
        <f t="shared" si="24"/>
        <v>0</v>
      </c>
      <c r="Q111" s="244"/>
      <c r="R111" s="244"/>
      <c r="S111" s="244"/>
      <c r="T111" s="244"/>
      <c r="U111" s="244"/>
    </row>
    <row r="112" spans="1:21" ht="12.5">
      <c r="B112" s="145" t="str">
        <f t="shared" si="17"/>
        <v/>
      </c>
      <c r="C112" s="496">
        <f>IF(D94="","-",+C111+1)</f>
        <v>2024</v>
      </c>
      <c r="D112" s="350">
        <f>IF(F111+SUM(E$100:E111)=D$93,F111,D$93-SUM(E$100:E111))</f>
        <v>0</v>
      </c>
      <c r="E112" s="510">
        <f>IF(+J97&lt;F111,J97,D112)</f>
        <v>0</v>
      </c>
      <c r="F112" s="511">
        <f t="shared" si="25"/>
        <v>0</v>
      </c>
      <c r="G112" s="511">
        <f t="shared" si="18"/>
        <v>0</v>
      </c>
      <c r="H112" s="524">
        <f t="shared" si="19"/>
        <v>0</v>
      </c>
      <c r="I112" s="573">
        <f t="shared" si="20"/>
        <v>0</v>
      </c>
      <c r="J112" s="505">
        <f t="shared" si="21"/>
        <v>0</v>
      </c>
      <c r="K112" s="505"/>
      <c r="L112" s="513"/>
      <c r="M112" s="505">
        <f t="shared" si="22"/>
        <v>0</v>
      </c>
      <c r="N112" s="513"/>
      <c r="O112" s="505">
        <f t="shared" si="23"/>
        <v>0</v>
      </c>
      <c r="P112" s="505">
        <f t="shared" si="24"/>
        <v>0</v>
      </c>
      <c r="Q112" s="244"/>
      <c r="R112" s="244"/>
      <c r="S112" s="244"/>
      <c r="T112" s="244"/>
      <c r="U112" s="244"/>
    </row>
    <row r="113" spans="2:21" ht="12.5">
      <c r="B113" s="145" t="str">
        <f t="shared" si="17"/>
        <v/>
      </c>
      <c r="C113" s="496">
        <f>IF(D94="","-",+C112+1)</f>
        <v>2025</v>
      </c>
      <c r="D113" s="350">
        <f>IF(F112+SUM(E$100:E112)=D$93,F112,D$93-SUM(E$100:E112))</f>
        <v>0</v>
      </c>
      <c r="E113" s="510">
        <f>IF(+J97&lt;F112,J97,D113)</f>
        <v>0</v>
      </c>
      <c r="F113" s="511">
        <f t="shared" si="25"/>
        <v>0</v>
      </c>
      <c r="G113" s="511">
        <f t="shared" si="18"/>
        <v>0</v>
      </c>
      <c r="H113" s="524">
        <f t="shared" si="19"/>
        <v>0</v>
      </c>
      <c r="I113" s="573">
        <f t="shared" si="20"/>
        <v>0</v>
      </c>
      <c r="J113" s="505">
        <f t="shared" si="21"/>
        <v>0</v>
      </c>
      <c r="K113" s="505"/>
      <c r="L113" s="513"/>
      <c r="M113" s="505">
        <f t="shared" si="22"/>
        <v>0</v>
      </c>
      <c r="N113" s="513"/>
      <c r="O113" s="505">
        <f t="shared" si="23"/>
        <v>0</v>
      </c>
      <c r="P113" s="505">
        <f t="shared" si="24"/>
        <v>0</v>
      </c>
      <c r="Q113" s="244"/>
      <c r="R113" s="244"/>
      <c r="S113" s="244"/>
      <c r="T113" s="244"/>
      <c r="U113" s="244"/>
    </row>
    <row r="114" spans="2:21" ht="12.5">
      <c r="B114" s="145" t="str">
        <f t="shared" si="17"/>
        <v/>
      </c>
      <c r="C114" s="496">
        <f>IF(D94="","-",+C113+1)</f>
        <v>2026</v>
      </c>
      <c r="D114" s="350">
        <f>IF(F113+SUM(E$100:E113)=D$93,F113,D$93-SUM(E$100:E113))</f>
        <v>0</v>
      </c>
      <c r="E114" s="510">
        <f>IF(+J97&lt;F113,J97,D114)</f>
        <v>0</v>
      </c>
      <c r="F114" s="511">
        <f t="shared" si="25"/>
        <v>0</v>
      </c>
      <c r="G114" s="511">
        <f t="shared" si="18"/>
        <v>0</v>
      </c>
      <c r="H114" s="524">
        <f t="shared" si="19"/>
        <v>0</v>
      </c>
      <c r="I114" s="573">
        <f t="shared" si="20"/>
        <v>0</v>
      </c>
      <c r="J114" s="505">
        <f t="shared" si="21"/>
        <v>0</v>
      </c>
      <c r="K114" s="505"/>
      <c r="L114" s="513"/>
      <c r="M114" s="505">
        <f t="shared" si="22"/>
        <v>0</v>
      </c>
      <c r="N114" s="513"/>
      <c r="O114" s="505">
        <f t="shared" si="23"/>
        <v>0</v>
      </c>
      <c r="P114" s="505">
        <f t="shared" si="24"/>
        <v>0</v>
      </c>
      <c r="Q114" s="244"/>
      <c r="R114" s="244"/>
      <c r="S114" s="244"/>
      <c r="T114" s="244"/>
      <c r="U114" s="244"/>
    </row>
    <row r="115" spans="2:21" ht="12.5">
      <c r="B115" s="145" t="str">
        <f t="shared" si="17"/>
        <v/>
      </c>
      <c r="C115" s="496">
        <f>IF(D94="","-",+C114+1)</f>
        <v>2027</v>
      </c>
      <c r="D115" s="350">
        <f>IF(F114+SUM(E$100:E114)=D$93,F114,D$93-SUM(E$100:E114))</f>
        <v>0</v>
      </c>
      <c r="E115" s="510">
        <f>IF(+J97&lt;F114,J97,D115)</f>
        <v>0</v>
      </c>
      <c r="F115" s="511">
        <f t="shared" si="25"/>
        <v>0</v>
      </c>
      <c r="G115" s="511">
        <f t="shared" si="18"/>
        <v>0</v>
      </c>
      <c r="H115" s="524">
        <f t="shared" si="19"/>
        <v>0</v>
      </c>
      <c r="I115" s="573">
        <f t="shared" si="20"/>
        <v>0</v>
      </c>
      <c r="J115" s="505">
        <f t="shared" si="21"/>
        <v>0</v>
      </c>
      <c r="K115" s="505"/>
      <c r="L115" s="513"/>
      <c r="M115" s="505">
        <f t="shared" si="22"/>
        <v>0</v>
      </c>
      <c r="N115" s="513"/>
      <c r="O115" s="505">
        <f t="shared" si="23"/>
        <v>0</v>
      </c>
      <c r="P115" s="505">
        <f t="shared" si="24"/>
        <v>0</v>
      </c>
      <c r="Q115" s="244"/>
      <c r="R115" s="244"/>
      <c r="S115" s="244"/>
      <c r="T115" s="244"/>
      <c r="U115" s="244"/>
    </row>
    <row r="116" spans="2:21" ht="12.5">
      <c r="B116" s="145" t="str">
        <f t="shared" si="17"/>
        <v/>
      </c>
      <c r="C116" s="496">
        <f>IF(D94="","-",+C115+1)</f>
        <v>2028</v>
      </c>
      <c r="D116" s="350">
        <f>IF(F115+SUM(E$100:E115)=D$93,F115,D$93-SUM(E$100:E115))</f>
        <v>0</v>
      </c>
      <c r="E116" s="510">
        <f>IF(+J97&lt;F115,J97,D116)</f>
        <v>0</v>
      </c>
      <c r="F116" s="511">
        <f t="shared" si="25"/>
        <v>0</v>
      </c>
      <c r="G116" s="511">
        <f t="shared" si="18"/>
        <v>0</v>
      </c>
      <c r="H116" s="524">
        <f t="shared" si="19"/>
        <v>0</v>
      </c>
      <c r="I116" s="573">
        <f t="shared" si="20"/>
        <v>0</v>
      </c>
      <c r="J116" s="505">
        <f t="shared" si="21"/>
        <v>0</v>
      </c>
      <c r="K116" s="505"/>
      <c r="L116" s="513"/>
      <c r="M116" s="505">
        <f t="shared" si="22"/>
        <v>0</v>
      </c>
      <c r="N116" s="513"/>
      <c r="O116" s="505">
        <f t="shared" si="23"/>
        <v>0</v>
      </c>
      <c r="P116" s="505">
        <f t="shared" si="24"/>
        <v>0</v>
      </c>
      <c r="Q116" s="244"/>
      <c r="R116" s="244"/>
      <c r="S116" s="244"/>
      <c r="T116" s="244"/>
      <c r="U116" s="244"/>
    </row>
    <row r="117" spans="2:21" ht="12.5">
      <c r="B117" s="145" t="str">
        <f t="shared" si="17"/>
        <v/>
      </c>
      <c r="C117" s="496">
        <f>IF(D94="","-",+C116+1)</f>
        <v>2029</v>
      </c>
      <c r="D117" s="350">
        <f>IF(F116+SUM(E$100:E116)=D$93,F116,D$93-SUM(E$100:E116))</f>
        <v>0</v>
      </c>
      <c r="E117" s="510">
        <f>IF(+J97&lt;F116,J97,D117)</f>
        <v>0</v>
      </c>
      <c r="F117" s="511">
        <f t="shared" si="25"/>
        <v>0</v>
      </c>
      <c r="G117" s="511">
        <f t="shared" si="18"/>
        <v>0</v>
      </c>
      <c r="H117" s="524">
        <f t="shared" si="19"/>
        <v>0</v>
      </c>
      <c r="I117" s="573">
        <f t="shared" si="20"/>
        <v>0</v>
      </c>
      <c r="J117" s="505">
        <f t="shared" si="21"/>
        <v>0</v>
      </c>
      <c r="K117" s="505"/>
      <c r="L117" s="513"/>
      <c r="M117" s="505">
        <f t="shared" si="22"/>
        <v>0</v>
      </c>
      <c r="N117" s="513"/>
      <c r="O117" s="505">
        <f t="shared" si="23"/>
        <v>0</v>
      </c>
      <c r="P117" s="505">
        <f t="shared" si="24"/>
        <v>0</v>
      </c>
      <c r="Q117" s="244"/>
      <c r="R117" s="244"/>
      <c r="S117" s="244"/>
      <c r="T117" s="244"/>
      <c r="U117" s="244"/>
    </row>
    <row r="118" spans="2:21" ht="12.5">
      <c r="B118" s="145" t="str">
        <f t="shared" si="17"/>
        <v/>
      </c>
      <c r="C118" s="496">
        <f>IF(D94="","-",+C117+1)</f>
        <v>2030</v>
      </c>
      <c r="D118" s="350">
        <f>IF(F117+SUM(E$100:E117)=D$93,F117,D$93-SUM(E$100:E117))</f>
        <v>0</v>
      </c>
      <c r="E118" s="510">
        <f>IF(+J97&lt;F117,J97,D118)</f>
        <v>0</v>
      </c>
      <c r="F118" s="511">
        <f t="shared" si="25"/>
        <v>0</v>
      </c>
      <c r="G118" s="511">
        <f t="shared" si="18"/>
        <v>0</v>
      </c>
      <c r="H118" s="524">
        <f t="shared" si="19"/>
        <v>0</v>
      </c>
      <c r="I118" s="573">
        <f t="shared" si="20"/>
        <v>0</v>
      </c>
      <c r="J118" s="505">
        <f t="shared" si="21"/>
        <v>0</v>
      </c>
      <c r="K118" s="505"/>
      <c r="L118" s="513"/>
      <c r="M118" s="505">
        <f t="shared" si="22"/>
        <v>0</v>
      </c>
      <c r="N118" s="513"/>
      <c r="O118" s="505">
        <f t="shared" si="23"/>
        <v>0</v>
      </c>
      <c r="P118" s="505">
        <f t="shared" si="24"/>
        <v>0</v>
      </c>
      <c r="Q118" s="244"/>
      <c r="R118" s="244"/>
      <c r="S118" s="244"/>
      <c r="T118" s="244"/>
      <c r="U118" s="244"/>
    </row>
    <row r="119" spans="2:21" ht="12.5">
      <c r="B119" s="145" t="str">
        <f t="shared" si="17"/>
        <v/>
      </c>
      <c r="C119" s="496">
        <f>IF(D94="","-",+C118+1)</f>
        <v>2031</v>
      </c>
      <c r="D119" s="350">
        <f>IF(F118+SUM(E$100:E118)=D$93,F118,D$93-SUM(E$100:E118))</f>
        <v>0</v>
      </c>
      <c r="E119" s="510">
        <f>IF(+J97&lt;F118,J97,D119)</f>
        <v>0</v>
      </c>
      <c r="F119" s="511">
        <f t="shared" si="25"/>
        <v>0</v>
      </c>
      <c r="G119" s="511">
        <f t="shared" si="18"/>
        <v>0</v>
      </c>
      <c r="H119" s="524">
        <f t="shared" si="19"/>
        <v>0</v>
      </c>
      <c r="I119" s="573">
        <f t="shared" si="20"/>
        <v>0</v>
      </c>
      <c r="J119" s="505">
        <f t="shared" si="21"/>
        <v>0</v>
      </c>
      <c r="K119" s="505"/>
      <c r="L119" s="513"/>
      <c r="M119" s="505">
        <f t="shared" si="22"/>
        <v>0</v>
      </c>
      <c r="N119" s="513"/>
      <c r="O119" s="505">
        <f t="shared" si="23"/>
        <v>0</v>
      </c>
      <c r="P119" s="505">
        <f t="shared" si="24"/>
        <v>0</v>
      </c>
      <c r="Q119" s="244"/>
      <c r="R119" s="244"/>
      <c r="S119" s="244"/>
      <c r="T119" s="244"/>
      <c r="U119" s="244"/>
    </row>
    <row r="120" spans="2:21" ht="12.5">
      <c r="B120" s="145" t="str">
        <f t="shared" si="17"/>
        <v/>
      </c>
      <c r="C120" s="496">
        <f>IF(D94="","-",+C119+1)</f>
        <v>2032</v>
      </c>
      <c r="D120" s="350">
        <f>IF(F119+SUM(E$100:E119)=D$93,F119,D$93-SUM(E$100:E119))</f>
        <v>0</v>
      </c>
      <c r="E120" s="510">
        <f>IF(+J97&lt;F119,J97,D120)</f>
        <v>0</v>
      </c>
      <c r="F120" s="511">
        <f t="shared" si="25"/>
        <v>0</v>
      </c>
      <c r="G120" s="511">
        <f t="shared" si="18"/>
        <v>0</v>
      </c>
      <c r="H120" s="524">
        <f t="shared" si="19"/>
        <v>0</v>
      </c>
      <c r="I120" s="573">
        <f t="shared" si="20"/>
        <v>0</v>
      </c>
      <c r="J120" s="505">
        <f t="shared" si="21"/>
        <v>0</v>
      </c>
      <c r="K120" s="505"/>
      <c r="L120" s="513"/>
      <c r="M120" s="505">
        <f t="shared" si="22"/>
        <v>0</v>
      </c>
      <c r="N120" s="513"/>
      <c r="O120" s="505">
        <f t="shared" si="23"/>
        <v>0</v>
      </c>
      <c r="P120" s="505">
        <f t="shared" si="24"/>
        <v>0</v>
      </c>
      <c r="Q120" s="244"/>
      <c r="R120" s="244"/>
      <c r="S120" s="244"/>
      <c r="T120" s="244"/>
      <c r="U120" s="244"/>
    </row>
    <row r="121" spans="2:21" ht="12.5">
      <c r="B121" s="145" t="str">
        <f t="shared" si="17"/>
        <v/>
      </c>
      <c r="C121" s="496">
        <f>IF(D94="","-",+C120+1)</f>
        <v>2033</v>
      </c>
      <c r="D121" s="350">
        <f>IF(F120+SUM(E$100:E120)=D$93,F120,D$93-SUM(E$100:E120))</f>
        <v>0</v>
      </c>
      <c r="E121" s="510">
        <f>IF(+J97&lt;F120,J97,D121)</f>
        <v>0</v>
      </c>
      <c r="F121" s="511">
        <f t="shared" si="25"/>
        <v>0</v>
      </c>
      <c r="G121" s="511">
        <f t="shared" si="18"/>
        <v>0</v>
      </c>
      <c r="H121" s="524">
        <f t="shared" si="19"/>
        <v>0</v>
      </c>
      <c r="I121" s="573">
        <f t="shared" si="20"/>
        <v>0</v>
      </c>
      <c r="J121" s="505">
        <f t="shared" si="21"/>
        <v>0</v>
      </c>
      <c r="K121" s="505"/>
      <c r="L121" s="513"/>
      <c r="M121" s="505">
        <f t="shared" si="22"/>
        <v>0</v>
      </c>
      <c r="N121" s="513"/>
      <c r="O121" s="505">
        <f t="shared" si="23"/>
        <v>0</v>
      </c>
      <c r="P121" s="505">
        <f t="shared" si="24"/>
        <v>0</v>
      </c>
      <c r="Q121" s="244"/>
      <c r="R121" s="244"/>
      <c r="S121" s="244"/>
      <c r="T121" s="244"/>
      <c r="U121" s="244"/>
    </row>
    <row r="122" spans="2:21" ht="12.5">
      <c r="B122" s="145" t="str">
        <f t="shared" si="17"/>
        <v/>
      </c>
      <c r="C122" s="496">
        <f>IF(D94="","-",+C121+1)</f>
        <v>2034</v>
      </c>
      <c r="D122" s="350">
        <f>IF(F121+SUM(E$100:E121)=D$93,F121,D$93-SUM(E$100:E121))</f>
        <v>0</v>
      </c>
      <c r="E122" s="510">
        <f>IF(+J97&lt;F121,J97,D122)</f>
        <v>0</v>
      </c>
      <c r="F122" s="511">
        <f t="shared" si="25"/>
        <v>0</v>
      </c>
      <c r="G122" s="511">
        <f t="shared" si="18"/>
        <v>0</v>
      </c>
      <c r="H122" s="524">
        <f t="shared" si="19"/>
        <v>0</v>
      </c>
      <c r="I122" s="573">
        <f t="shared" si="20"/>
        <v>0</v>
      </c>
      <c r="J122" s="505">
        <f t="shared" si="21"/>
        <v>0</v>
      </c>
      <c r="K122" s="505"/>
      <c r="L122" s="513"/>
      <c r="M122" s="505">
        <f t="shared" si="22"/>
        <v>0</v>
      </c>
      <c r="N122" s="513"/>
      <c r="O122" s="505">
        <f t="shared" si="23"/>
        <v>0</v>
      </c>
      <c r="P122" s="505">
        <f t="shared" si="24"/>
        <v>0</v>
      </c>
      <c r="Q122" s="244"/>
      <c r="R122" s="244"/>
      <c r="S122" s="244"/>
      <c r="T122" s="244"/>
      <c r="U122" s="244"/>
    </row>
    <row r="123" spans="2:21" ht="12.5">
      <c r="B123" s="145" t="str">
        <f t="shared" si="17"/>
        <v/>
      </c>
      <c r="C123" s="496">
        <f>IF(D94="","-",+C122+1)</f>
        <v>2035</v>
      </c>
      <c r="D123" s="350">
        <f>IF(F122+SUM(E$100:E122)=D$93,F122,D$93-SUM(E$100:E122))</f>
        <v>0</v>
      </c>
      <c r="E123" s="510">
        <f>IF(+J97&lt;F122,J97,D123)</f>
        <v>0</v>
      </c>
      <c r="F123" s="511">
        <f t="shared" si="25"/>
        <v>0</v>
      </c>
      <c r="G123" s="511">
        <f t="shared" si="18"/>
        <v>0</v>
      </c>
      <c r="H123" s="524">
        <f t="shared" si="19"/>
        <v>0</v>
      </c>
      <c r="I123" s="573">
        <f t="shared" si="20"/>
        <v>0</v>
      </c>
      <c r="J123" s="505">
        <f t="shared" si="21"/>
        <v>0</v>
      </c>
      <c r="K123" s="505"/>
      <c r="L123" s="513"/>
      <c r="M123" s="505">
        <f t="shared" si="22"/>
        <v>0</v>
      </c>
      <c r="N123" s="513"/>
      <c r="O123" s="505">
        <f t="shared" si="23"/>
        <v>0</v>
      </c>
      <c r="P123" s="505">
        <f t="shared" si="24"/>
        <v>0</v>
      </c>
      <c r="Q123" s="244"/>
      <c r="R123" s="244"/>
      <c r="S123" s="244"/>
      <c r="T123" s="244"/>
      <c r="U123" s="244"/>
    </row>
    <row r="124" spans="2:21" ht="12.5">
      <c r="B124" s="145" t="str">
        <f t="shared" si="17"/>
        <v/>
      </c>
      <c r="C124" s="496">
        <f>IF(D94="","-",+C123+1)</f>
        <v>2036</v>
      </c>
      <c r="D124" s="350">
        <f>IF(F123+SUM(E$100:E123)=D$93,F123,D$93-SUM(E$100:E123))</f>
        <v>0</v>
      </c>
      <c r="E124" s="510">
        <f>IF(+J97&lt;F123,J97,D124)</f>
        <v>0</v>
      </c>
      <c r="F124" s="511">
        <f t="shared" si="25"/>
        <v>0</v>
      </c>
      <c r="G124" s="511">
        <f t="shared" si="18"/>
        <v>0</v>
      </c>
      <c r="H124" s="524">
        <f t="shared" si="19"/>
        <v>0</v>
      </c>
      <c r="I124" s="573">
        <f t="shared" si="20"/>
        <v>0</v>
      </c>
      <c r="J124" s="505">
        <f t="shared" si="21"/>
        <v>0</v>
      </c>
      <c r="K124" s="505"/>
      <c r="L124" s="513"/>
      <c r="M124" s="505">
        <f t="shared" si="22"/>
        <v>0</v>
      </c>
      <c r="N124" s="513"/>
      <c r="O124" s="505">
        <f t="shared" si="23"/>
        <v>0</v>
      </c>
      <c r="P124" s="505">
        <f t="shared" si="24"/>
        <v>0</v>
      </c>
      <c r="Q124" s="244"/>
      <c r="R124" s="244"/>
      <c r="S124" s="244"/>
      <c r="T124" s="244"/>
      <c r="U124" s="244"/>
    </row>
    <row r="125" spans="2:21" ht="12.5">
      <c r="B125" s="145" t="str">
        <f t="shared" si="17"/>
        <v/>
      </c>
      <c r="C125" s="496">
        <f>IF(D94="","-",+C124+1)</f>
        <v>2037</v>
      </c>
      <c r="D125" s="350">
        <f>IF(F124+SUM(E$100:E124)=D$93,F124,D$93-SUM(E$100:E124))</f>
        <v>0</v>
      </c>
      <c r="E125" s="510">
        <f>IF(+J97&lt;F124,J97,D125)</f>
        <v>0</v>
      </c>
      <c r="F125" s="511">
        <f t="shared" si="25"/>
        <v>0</v>
      </c>
      <c r="G125" s="511">
        <f t="shared" si="18"/>
        <v>0</v>
      </c>
      <c r="H125" s="524">
        <f t="shared" si="19"/>
        <v>0</v>
      </c>
      <c r="I125" s="573">
        <f t="shared" si="20"/>
        <v>0</v>
      </c>
      <c r="J125" s="505">
        <f t="shared" si="21"/>
        <v>0</v>
      </c>
      <c r="K125" s="505"/>
      <c r="L125" s="513"/>
      <c r="M125" s="505">
        <f t="shared" si="22"/>
        <v>0</v>
      </c>
      <c r="N125" s="513"/>
      <c r="O125" s="505">
        <f t="shared" si="23"/>
        <v>0</v>
      </c>
      <c r="P125" s="505">
        <f t="shared" si="24"/>
        <v>0</v>
      </c>
      <c r="Q125" s="244"/>
      <c r="R125" s="244"/>
      <c r="S125" s="244"/>
      <c r="T125" s="244"/>
      <c r="U125" s="244"/>
    </row>
    <row r="126" spans="2:21" ht="12.5">
      <c r="B126" s="145" t="str">
        <f t="shared" si="17"/>
        <v/>
      </c>
      <c r="C126" s="496">
        <f>IF(D94="","-",+C125+1)</f>
        <v>2038</v>
      </c>
      <c r="D126" s="350">
        <f>IF(F125+SUM(E$100:E125)=D$93,F125,D$93-SUM(E$100:E125))</f>
        <v>0</v>
      </c>
      <c r="E126" s="510">
        <f>IF(+J97&lt;F125,J97,D126)</f>
        <v>0</v>
      </c>
      <c r="F126" s="511">
        <f t="shared" si="25"/>
        <v>0</v>
      </c>
      <c r="G126" s="511">
        <f t="shared" si="18"/>
        <v>0</v>
      </c>
      <c r="H126" s="524">
        <f t="shared" si="19"/>
        <v>0</v>
      </c>
      <c r="I126" s="573">
        <f t="shared" si="20"/>
        <v>0</v>
      </c>
      <c r="J126" s="505">
        <f t="shared" si="21"/>
        <v>0</v>
      </c>
      <c r="K126" s="505"/>
      <c r="L126" s="513"/>
      <c r="M126" s="505">
        <f t="shared" si="22"/>
        <v>0</v>
      </c>
      <c r="N126" s="513"/>
      <c r="O126" s="505">
        <f t="shared" si="23"/>
        <v>0</v>
      </c>
      <c r="P126" s="505">
        <f t="shared" si="24"/>
        <v>0</v>
      </c>
      <c r="Q126" s="244"/>
      <c r="R126" s="244"/>
      <c r="S126" s="244"/>
      <c r="T126" s="244"/>
      <c r="U126" s="244"/>
    </row>
    <row r="127" spans="2:21" ht="12.5">
      <c r="B127" s="145" t="str">
        <f t="shared" si="17"/>
        <v/>
      </c>
      <c r="C127" s="496">
        <f>IF(D94="","-",+C126+1)</f>
        <v>2039</v>
      </c>
      <c r="D127" s="350">
        <f>IF(F126+SUM(E$100:E126)=D$93,F126,D$93-SUM(E$100:E126))</f>
        <v>0</v>
      </c>
      <c r="E127" s="510">
        <f>IF(+J97&lt;F126,J97,D127)</f>
        <v>0</v>
      </c>
      <c r="F127" s="511">
        <f t="shared" si="25"/>
        <v>0</v>
      </c>
      <c r="G127" s="511">
        <f t="shared" si="18"/>
        <v>0</v>
      </c>
      <c r="H127" s="524">
        <f t="shared" si="19"/>
        <v>0</v>
      </c>
      <c r="I127" s="573">
        <f t="shared" si="20"/>
        <v>0</v>
      </c>
      <c r="J127" s="505">
        <f t="shared" si="21"/>
        <v>0</v>
      </c>
      <c r="K127" s="505"/>
      <c r="L127" s="513"/>
      <c r="M127" s="505">
        <f t="shared" si="22"/>
        <v>0</v>
      </c>
      <c r="N127" s="513"/>
      <c r="O127" s="505">
        <f t="shared" si="23"/>
        <v>0</v>
      </c>
      <c r="P127" s="505">
        <f t="shared" si="24"/>
        <v>0</v>
      </c>
      <c r="Q127" s="244"/>
      <c r="R127" s="244"/>
      <c r="S127" s="244"/>
      <c r="T127" s="244"/>
      <c r="U127" s="244"/>
    </row>
    <row r="128" spans="2:21" ht="12.5">
      <c r="B128" s="145" t="str">
        <f t="shared" si="17"/>
        <v/>
      </c>
      <c r="C128" s="496">
        <f>IF(D94="","-",+C127+1)</f>
        <v>2040</v>
      </c>
      <c r="D128" s="350">
        <f>IF(F127+SUM(E$100:E127)=D$93,F127,D$93-SUM(E$100:E127))</f>
        <v>0</v>
      </c>
      <c r="E128" s="510">
        <f>IF(+J97&lt;F127,J97,D128)</f>
        <v>0</v>
      </c>
      <c r="F128" s="511">
        <f t="shared" si="25"/>
        <v>0</v>
      </c>
      <c r="G128" s="511">
        <f t="shared" si="18"/>
        <v>0</v>
      </c>
      <c r="H128" s="524">
        <f t="shared" si="19"/>
        <v>0</v>
      </c>
      <c r="I128" s="573">
        <f t="shared" si="20"/>
        <v>0</v>
      </c>
      <c r="J128" s="505">
        <f t="shared" si="21"/>
        <v>0</v>
      </c>
      <c r="K128" s="505"/>
      <c r="L128" s="513"/>
      <c r="M128" s="505">
        <f t="shared" si="22"/>
        <v>0</v>
      </c>
      <c r="N128" s="513"/>
      <c r="O128" s="505">
        <f t="shared" si="23"/>
        <v>0</v>
      </c>
      <c r="P128" s="505">
        <f t="shared" si="24"/>
        <v>0</v>
      </c>
      <c r="Q128" s="244"/>
      <c r="R128" s="244"/>
      <c r="S128" s="244"/>
      <c r="T128" s="244"/>
      <c r="U128" s="244"/>
    </row>
    <row r="129" spans="2:21" ht="12.5">
      <c r="B129" s="145" t="str">
        <f t="shared" si="17"/>
        <v/>
      </c>
      <c r="C129" s="496">
        <f>IF(D94="","-",+C128+1)</f>
        <v>2041</v>
      </c>
      <c r="D129" s="350">
        <f>IF(F128+SUM(E$100:E128)=D$93,F128,D$93-SUM(E$100:E128))</f>
        <v>0</v>
      </c>
      <c r="E129" s="510">
        <f>IF(+J97&lt;F128,J97,D129)</f>
        <v>0</v>
      </c>
      <c r="F129" s="511">
        <f t="shared" si="25"/>
        <v>0</v>
      </c>
      <c r="G129" s="511">
        <f t="shared" si="18"/>
        <v>0</v>
      </c>
      <c r="H129" s="524">
        <f t="shared" si="19"/>
        <v>0</v>
      </c>
      <c r="I129" s="573">
        <f t="shared" si="20"/>
        <v>0</v>
      </c>
      <c r="J129" s="505">
        <f t="shared" si="21"/>
        <v>0</v>
      </c>
      <c r="K129" s="505"/>
      <c r="L129" s="513"/>
      <c r="M129" s="505">
        <f t="shared" si="22"/>
        <v>0</v>
      </c>
      <c r="N129" s="513"/>
      <c r="O129" s="505">
        <f t="shared" si="23"/>
        <v>0</v>
      </c>
      <c r="P129" s="505">
        <f t="shared" si="24"/>
        <v>0</v>
      </c>
      <c r="Q129" s="244"/>
      <c r="R129" s="244"/>
      <c r="S129" s="244"/>
      <c r="T129" s="244"/>
      <c r="U129" s="244"/>
    </row>
    <row r="130" spans="2:21" ht="12.5">
      <c r="B130" s="145" t="str">
        <f t="shared" si="17"/>
        <v/>
      </c>
      <c r="C130" s="496">
        <f>IF(D94="","-",+C129+1)</f>
        <v>2042</v>
      </c>
      <c r="D130" s="350">
        <f>IF(F129+SUM(E$100:E129)=D$93,F129,D$93-SUM(E$100:E129))</f>
        <v>0</v>
      </c>
      <c r="E130" s="510">
        <f>IF(+J97&lt;F129,J97,D130)</f>
        <v>0</v>
      </c>
      <c r="F130" s="511">
        <f t="shared" si="25"/>
        <v>0</v>
      </c>
      <c r="G130" s="511">
        <f t="shared" si="18"/>
        <v>0</v>
      </c>
      <c r="H130" s="524">
        <f t="shared" si="19"/>
        <v>0</v>
      </c>
      <c r="I130" s="573">
        <f t="shared" si="20"/>
        <v>0</v>
      </c>
      <c r="J130" s="505">
        <f t="shared" si="21"/>
        <v>0</v>
      </c>
      <c r="K130" s="505"/>
      <c r="L130" s="513"/>
      <c r="M130" s="505">
        <f t="shared" si="22"/>
        <v>0</v>
      </c>
      <c r="N130" s="513"/>
      <c r="O130" s="505">
        <f t="shared" si="23"/>
        <v>0</v>
      </c>
      <c r="P130" s="505">
        <f t="shared" si="24"/>
        <v>0</v>
      </c>
      <c r="Q130" s="244"/>
      <c r="R130" s="244"/>
      <c r="S130" s="244"/>
      <c r="T130" s="244"/>
      <c r="U130" s="244"/>
    </row>
    <row r="131" spans="2:21" ht="12.5">
      <c r="B131" s="145" t="str">
        <f t="shared" si="17"/>
        <v/>
      </c>
      <c r="C131" s="496">
        <f>IF(D94="","-",+C130+1)</f>
        <v>2043</v>
      </c>
      <c r="D131" s="350">
        <f>IF(F130+SUM(E$100:E130)=D$93,F130,D$93-SUM(E$100:E130))</f>
        <v>0</v>
      </c>
      <c r="E131" s="510">
        <f>IF(+J97&lt;F130,J97,D131)</f>
        <v>0</v>
      </c>
      <c r="F131" s="511">
        <f t="shared" si="25"/>
        <v>0</v>
      </c>
      <c r="G131" s="511">
        <f t="shared" si="18"/>
        <v>0</v>
      </c>
      <c r="H131" s="524">
        <f t="shared" si="19"/>
        <v>0</v>
      </c>
      <c r="I131" s="573">
        <f t="shared" si="20"/>
        <v>0</v>
      </c>
      <c r="J131" s="505">
        <f t="shared" si="21"/>
        <v>0</v>
      </c>
      <c r="K131" s="505"/>
      <c r="L131" s="513"/>
      <c r="M131" s="505">
        <f t="shared" si="22"/>
        <v>0</v>
      </c>
      <c r="N131" s="513"/>
      <c r="O131" s="505">
        <f t="shared" si="23"/>
        <v>0</v>
      </c>
      <c r="P131" s="505">
        <f t="shared" si="24"/>
        <v>0</v>
      </c>
      <c r="Q131" s="244"/>
      <c r="R131" s="244"/>
      <c r="S131" s="244"/>
      <c r="T131" s="244"/>
      <c r="U131" s="244"/>
    </row>
    <row r="132" spans="2:21" ht="12.5">
      <c r="B132" s="145" t="str">
        <f t="shared" ref="B132:B155" si="26">IF(D132=F131,"","IU")</f>
        <v/>
      </c>
      <c r="C132" s="496">
        <f>IF(D94="","-",+C131+1)</f>
        <v>2044</v>
      </c>
      <c r="D132" s="350">
        <f>IF(F131+SUM(E$100:E131)=D$93,F131,D$93-SUM(E$100:E131))</f>
        <v>0</v>
      </c>
      <c r="E132" s="510">
        <f>IF(+J97&lt;F131,J97,D132)</f>
        <v>0</v>
      </c>
      <c r="F132" s="511">
        <f t="shared" si="25"/>
        <v>0</v>
      </c>
      <c r="G132" s="511">
        <f t="shared" ref="G132:G155" si="27">+(F132+D132)/2</f>
        <v>0</v>
      </c>
      <c r="H132" s="524">
        <f t="shared" ref="H132:H155" si="28">+J$95*G132+E132</f>
        <v>0</v>
      </c>
      <c r="I132" s="573">
        <f t="shared" ref="I132:I155" si="29">+J$96*G132+E132</f>
        <v>0</v>
      </c>
      <c r="J132" s="505">
        <f t="shared" ref="J132:J155" si="30">+I132-H132</f>
        <v>0</v>
      </c>
      <c r="K132" s="505"/>
      <c r="L132" s="513"/>
      <c r="M132" s="505">
        <f t="shared" ref="M132:M155" si="31">IF(L132&lt;&gt;0,+H132-L132,0)</f>
        <v>0</v>
      </c>
      <c r="N132" s="513"/>
      <c r="O132" s="505">
        <f t="shared" ref="O132:O155" si="32">IF(N132&lt;&gt;0,+I132-N132,0)</f>
        <v>0</v>
      </c>
      <c r="P132" s="505">
        <f t="shared" ref="P132:P155" si="33">+O132-M132</f>
        <v>0</v>
      </c>
      <c r="Q132" s="244"/>
      <c r="R132" s="244"/>
      <c r="S132" s="244"/>
      <c r="T132" s="244"/>
      <c r="U132" s="244"/>
    </row>
    <row r="133" spans="2:21" ht="12.5">
      <c r="B133" s="145" t="str">
        <f t="shared" si="26"/>
        <v/>
      </c>
      <c r="C133" s="496">
        <f>IF(D94="","-",+C132+1)</f>
        <v>2045</v>
      </c>
      <c r="D133" s="350">
        <f>IF(F132+SUM(E$100:E132)=D$93,F132,D$93-SUM(E$100:E132))</f>
        <v>0</v>
      </c>
      <c r="E133" s="510">
        <f>IF(+J97&lt;F132,J97,D133)</f>
        <v>0</v>
      </c>
      <c r="F133" s="511">
        <f t="shared" ref="F133:F155" si="34">+D133-E133</f>
        <v>0</v>
      </c>
      <c r="G133" s="511">
        <f t="shared" si="27"/>
        <v>0</v>
      </c>
      <c r="H133" s="524">
        <f t="shared" si="28"/>
        <v>0</v>
      </c>
      <c r="I133" s="573">
        <f t="shared" si="29"/>
        <v>0</v>
      </c>
      <c r="J133" s="505">
        <f t="shared" si="30"/>
        <v>0</v>
      </c>
      <c r="K133" s="505"/>
      <c r="L133" s="513"/>
      <c r="M133" s="505">
        <f t="shared" si="31"/>
        <v>0</v>
      </c>
      <c r="N133" s="513"/>
      <c r="O133" s="505">
        <f t="shared" si="32"/>
        <v>0</v>
      </c>
      <c r="P133" s="505">
        <f t="shared" si="33"/>
        <v>0</v>
      </c>
      <c r="Q133" s="244"/>
      <c r="R133" s="244"/>
      <c r="S133" s="244"/>
      <c r="T133" s="244"/>
      <c r="U133" s="244"/>
    </row>
    <row r="134" spans="2:21" ht="12.5">
      <c r="B134" s="145" t="str">
        <f t="shared" si="26"/>
        <v/>
      </c>
      <c r="C134" s="496">
        <f>IF(D94="","-",+C133+1)</f>
        <v>2046</v>
      </c>
      <c r="D134" s="350">
        <f>IF(F133+SUM(E$100:E133)=D$93,F133,D$93-SUM(E$100:E133))</f>
        <v>0</v>
      </c>
      <c r="E134" s="510">
        <f>IF(+J97&lt;F133,J97,D134)</f>
        <v>0</v>
      </c>
      <c r="F134" s="511">
        <f t="shared" si="34"/>
        <v>0</v>
      </c>
      <c r="G134" s="511">
        <f t="shared" si="27"/>
        <v>0</v>
      </c>
      <c r="H134" s="524">
        <f t="shared" si="28"/>
        <v>0</v>
      </c>
      <c r="I134" s="573">
        <f t="shared" si="29"/>
        <v>0</v>
      </c>
      <c r="J134" s="505">
        <f t="shared" si="30"/>
        <v>0</v>
      </c>
      <c r="K134" s="505"/>
      <c r="L134" s="513"/>
      <c r="M134" s="505">
        <f t="shared" si="31"/>
        <v>0</v>
      </c>
      <c r="N134" s="513"/>
      <c r="O134" s="505">
        <f t="shared" si="32"/>
        <v>0</v>
      </c>
      <c r="P134" s="505">
        <f t="shared" si="33"/>
        <v>0</v>
      </c>
      <c r="Q134" s="244"/>
      <c r="R134" s="244"/>
      <c r="S134" s="244"/>
      <c r="T134" s="244"/>
      <c r="U134" s="244"/>
    </row>
    <row r="135" spans="2:21" ht="12.5">
      <c r="B135" s="145" t="str">
        <f t="shared" si="26"/>
        <v/>
      </c>
      <c r="C135" s="496">
        <f>IF(D94="","-",+C134+1)</f>
        <v>2047</v>
      </c>
      <c r="D135" s="350">
        <f>IF(F134+SUM(E$100:E134)=D$93,F134,D$93-SUM(E$100:E134))</f>
        <v>0</v>
      </c>
      <c r="E135" s="510">
        <f>IF(+J97&lt;F134,J97,D135)</f>
        <v>0</v>
      </c>
      <c r="F135" s="511">
        <f t="shared" si="34"/>
        <v>0</v>
      </c>
      <c r="G135" s="511">
        <f t="shared" si="27"/>
        <v>0</v>
      </c>
      <c r="H135" s="524">
        <f t="shared" si="28"/>
        <v>0</v>
      </c>
      <c r="I135" s="573">
        <f t="shared" si="29"/>
        <v>0</v>
      </c>
      <c r="J135" s="505">
        <f t="shared" si="30"/>
        <v>0</v>
      </c>
      <c r="K135" s="505"/>
      <c r="L135" s="513"/>
      <c r="M135" s="505">
        <f t="shared" si="31"/>
        <v>0</v>
      </c>
      <c r="N135" s="513"/>
      <c r="O135" s="505">
        <f t="shared" si="32"/>
        <v>0</v>
      </c>
      <c r="P135" s="505">
        <f t="shared" si="33"/>
        <v>0</v>
      </c>
      <c r="Q135" s="244"/>
      <c r="R135" s="244"/>
      <c r="S135" s="244"/>
      <c r="T135" s="244"/>
      <c r="U135" s="244"/>
    </row>
    <row r="136" spans="2:21" ht="12.5">
      <c r="B136" s="145" t="str">
        <f t="shared" si="26"/>
        <v/>
      </c>
      <c r="C136" s="496">
        <f>IF(D94="","-",+C135+1)</f>
        <v>2048</v>
      </c>
      <c r="D136" s="350">
        <f>IF(F135+SUM(E$100:E135)=D$93,F135,D$93-SUM(E$100:E135))</f>
        <v>0</v>
      </c>
      <c r="E136" s="510">
        <f>IF(+J97&lt;F135,J97,D136)</f>
        <v>0</v>
      </c>
      <c r="F136" s="511">
        <f t="shared" si="34"/>
        <v>0</v>
      </c>
      <c r="G136" s="511">
        <f t="shared" si="27"/>
        <v>0</v>
      </c>
      <c r="H136" s="524">
        <f t="shared" si="28"/>
        <v>0</v>
      </c>
      <c r="I136" s="573">
        <f t="shared" si="29"/>
        <v>0</v>
      </c>
      <c r="J136" s="505">
        <f t="shared" si="30"/>
        <v>0</v>
      </c>
      <c r="K136" s="505"/>
      <c r="L136" s="513"/>
      <c r="M136" s="505">
        <f t="shared" si="31"/>
        <v>0</v>
      </c>
      <c r="N136" s="513"/>
      <c r="O136" s="505">
        <f t="shared" si="32"/>
        <v>0</v>
      </c>
      <c r="P136" s="505">
        <f t="shared" si="33"/>
        <v>0</v>
      </c>
      <c r="Q136" s="244"/>
      <c r="R136" s="244"/>
      <c r="S136" s="244"/>
      <c r="T136" s="244"/>
      <c r="U136" s="244"/>
    </row>
    <row r="137" spans="2:21" ht="12.5">
      <c r="B137" s="145" t="str">
        <f t="shared" si="26"/>
        <v/>
      </c>
      <c r="C137" s="496">
        <f>IF(D94="","-",+C136+1)</f>
        <v>2049</v>
      </c>
      <c r="D137" s="350">
        <f>IF(F136+SUM(E$100:E136)=D$93,F136,D$93-SUM(E$100:E136))</f>
        <v>0</v>
      </c>
      <c r="E137" s="510">
        <f>IF(+J97&lt;F136,J97,D137)</f>
        <v>0</v>
      </c>
      <c r="F137" s="511">
        <f t="shared" si="34"/>
        <v>0</v>
      </c>
      <c r="G137" s="511">
        <f t="shared" si="27"/>
        <v>0</v>
      </c>
      <c r="H137" s="524">
        <f t="shared" si="28"/>
        <v>0</v>
      </c>
      <c r="I137" s="573">
        <f t="shared" si="29"/>
        <v>0</v>
      </c>
      <c r="J137" s="505">
        <f t="shared" si="30"/>
        <v>0</v>
      </c>
      <c r="K137" s="505"/>
      <c r="L137" s="513"/>
      <c r="M137" s="505">
        <f t="shared" si="31"/>
        <v>0</v>
      </c>
      <c r="N137" s="513"/>
      <c r="O137" s="505">
        <f t="shared" si="32"/>
        <v>0</v>
      </c>
      <c r="P137" s="505">
        <f t="shared" si="33"/>
        <v>0</v>
      </c>
      <c r="Q137" s="244"/>
      <c r="R137" s="244"/>
      <c r="S137" s="244"/>
      <c r="T137" s="244"/>
      <c r="U137" s="244"/>
    </row>
    <row r="138" spans="2:21" ht="12.5">
      <c r="B138" s="145" t="str">
        <f t="shared" si="26"/>
        <v/>
      </c>
      <c r="C138" s="496">
        <f>IF(D94="","-",+C137+1)</f>
        <v>2050</v>
      </c>
      <c r="D138" s="350">
        <f>IF(F137+SUM(E$100:E137)=D$93,F137,D$93-SUM(E$100:E137))</f>
        <v>0</v>
      </c>
      <c r="E138" s="510">
        <f>IF(+J97&lt;F137,J97,D138)</f>
        <v>0</v>
      </c>
      <c r="F138" s="511">
        <f t="shared" si="34"/>
        <v>0</v>
      </c>
      <c r="G138" s="511">
        <f t="shared" si="27"/>
        <v>0</v>
      </c>
      <c r="H138" s="524">
        <f t="shared" si="28"/>
        <v>0</v>
      </c>
      <c r="I138" s="573">
        <f t="shared" si="29"/>
        <v>0</v>
      </c>
      <c r="J138" s="505">
        <f t="shared" si="30"/>
        <v>0</v>
      </c>
      <c r="K138" s="505"/>
      <c r="L138" s="513"/>
      <c r="M138" s="505">
        <f t="shared" si="31"/>
        <v>0</v>
      </c>
      <c r="N138" s="513"/>
      <c r="O138" s="505">
        <f t="shared" si="32"/>
        <v>0</v>
      </c>
      <c r="P138" s="505">
        <f t="shared" si="33"/>
        <v>0</v>
      </c>
      <c r="Q138" s="244"/>
      <c r="R138" s="244"/>
      <c r="S138" s="244"/>
      <c r="T138" s="244"/>
      <c r="U138" s="244"/>
    </row>
    <row r="139" spans="2:21" ht="12.5">
      <c r="B139" s="145" t="str">
        <f t="shared" si="26"/>
        <v/>
      </c>
      <c r="C139" s="496">
        <f>IF(D94="","-",+C138+1)</f>
        <v>2051</v>
      </c>
      <c r="D139" s="350">
        <f>IF(F138+SUM(E$100:E138)=D$93,F138,D$93-SUM(E$100:E138))</f>
        <v>0</v>
      </c>
      <c r="E139" s="510">
        <f>IF(+J97&lt;F138,J97,D139)</f>
        <v>0</v>
      </c>
      <c r="F139" s="511">
        <f t="shared" si="34"/>
        <v>0</v>
      </c>
      <c r="G139" s="511">
        <f t="shared" si="27"/>
        <v>0</v>
      </c>
      <c r="H139" s="524">
        <f t="shared" si="28"/>
        <v>0</v>
      </c>
      <c r="I139" s="573">
        <f t="shared" si="29"/>
        <v>0</v>
      </c>
      <c r="J139" s="505">
        <f t="shared" si="30"/>
        <v>0</v>
      </c>
      <c r="K139" s="505"/>
      <c r="L139" s="513"/>
      <c r="M139" s="505">
        <f t="shared" si="31"/>
        <v>0</v>
      </c>
      <c r="N139" s="513"/>
      <c r="O139" s="505">
        <f t="shared" si="32"/>
        <v>0</v>
      </c>
      <c r="P139" s="505">
        <f t="shared" si="33"/>
        <v>0</v>
      </c>
      <c r="Q139" s="244"/>
      <c r="R139" s="244"/>
      <c r="S139" s="244"/>
      <c r="T139" s="244"/>
      <c r="U139" s="244"/>
    </row>
    <row r="140" spans="2:21" ht="12.5">
      <c r="B140" s="145" t="str">
        <f t="shared" si="26"/>
        <v/>
      </c>
      <c r="C140" s="496">
        <f>IF(D94="","-",+C139+1)</f>
        <v>2052</v>
      </c>
      <c r="D140" s="350">
        <f>IF(F139+SUM(E$100:E139)=D$93,F139,D$93-SUM(E$100:E139))</f>
        <v>0</v>
      </c>
      <c r="E140" s="510">
        <f>IF(+J97&lt;F139,J97,D140)</f>
        <v>0</v>
      </c>
      <c r="F140" s="511">
        <f t="shared" si="34"/>
        <v>0</v>
      </c>
      <c r="G140" s="511">
        <f t="shared" si="27"/>
        <v>0</v>
      </c>
      <c r="H140" s="524">
        <f t="shared" si="28"/>
        <v>0</v>
      </c>
      <c r="I140" s="573">
        <f t="shared" si="29"/>
        <v>0</v>
      </c>
      <c r="J140" s="505">
        <f t="shared" si="30"/>
        <v>0</v>
      </c>
      <c r="K140" s="505"/>
      <c r="L140" s="513"/>
      <c r="M140" s="505">
        <f t="shared" si="31"/>
        <v>0</v>
      </c>
      <c r="N140" s="513"/>
      <c r="O140" s="505">
        <f t="shared" si="32"/>
        <v>0</v>
      </c>
      <c r="P140" s="505">
        <f t="shared" si="33"/>
        <v>0</v>
      </c>
      <c r="Q140" s="244"/>
      <c r="R140" s="244"/>
      <c r="S140" s="244"/>
      <c r="T140" s="244"/>
      <c r="U140" s="244"/>
    </row>
    <row r="141" spans="2:21" ht="12.5">
      <c r="B141" s="145" t="str">
        <f t="shared" si="26"/>
        <v/>
      </c>
      <c r="C141" s="496">
        <f>IF(D94="","-",+C140+1)</f>
        <v>2053</v>
      </c>
      <c r="D141" s="350">
        <f>IF(F140+SUM(E$100:E140)=D$93,F140,D$93-SUM(E$100:E140))</f>
        <v>0</v>
      </c>
      <c r="E141" s="510">
        <f>IF(+J97&lt;F140,J97,D141)</f>
        <v>0</v>
      </c>
      <c r="F141" s="511">
        <f t="shared" si="34"/>
        <v>0</v>
      </c>
      <c r="G141" s="511">
        <f t="shared" si="27"/>
        <v>0</v>
      </c>
      <c r="H141" s="524">
        <f t="shared" si="28"/>
        <v>0</v>
      </c>
      <c r="I141" s="573">
        <f t="shared" si="29"/>
        <v>0</v>
      </c>
      <c r="J141" s="505">
        <f t="shared" si="30"/>
        <v>0</v>
      </c>
      <c r="K141" s="505"/>
      <c r="L141" s="513"/>
      <c r="M141" s="505">
        <f t="shared" si="31"/>
        <v>0</v>
      </c>
      <c r="N141" s="513"/>
      <c r="O141" s="505">
        <f t="shared" si="32"/>
        <v>0</v>
      </c>
      <c r="P141" s="505">
        <f t="shared" si="33"/>
        <v>0</v>
      </c>
      <c r="Q141" s="244"/>
      <c r="R141" s="244"/>
      <c r="S141" s="244"/>
      <c r="T141" s="244"/>
      <c r="U141" s="244"/>
    </row>
    <row r="142" spans="2:21" ht="12.5">
      <c r="B142" s="145" t="str">
        <f t="shared" si="26"/>
        <v/>
      </c>
      <c r="C142" s="496">
        <f>IF(D94="","-",+C141+1)</f>
        <v>2054</v>
      </c>
      <c r="D142" s="350">
        <f>IF(F141+SUM(E$100:E141)=D$93,F141,D$93-SUM(E$100:E141))</f>
        <v>0</v>
      </c>
      <c r="E142" s="510">
        <f>IF(+J97&lt;F141,J97,D142)</f>
        <v>0</v>
      </c>
      <c r="F142" s="511">
        <f t="shared" si="34"/>
        <v>0</v>
      </c>
      <c r="G142" s="511">
        <f t="shared" si="27"/>
        <v>0</v>
      </c>
      <c r="H142" s="524">
        <f t="shared" si="28"/>
        <v>0</v>
      </c>
      <c r="I142" s="573">
        <f t="shared" si="29"/>
        <v>0</v>
      </c>
      <c r="J142" s="505">
        <f t="shared" si="30"/>
        <v>0</v>
      </c>
      <c r="K142" s="505"/>
      <c r="L142" s="513"/>
      <c r="M142" s="505">
        <f t="shared" si="31"/>
        <v>0</v>
      </c>
      <c r="N142" s="513"/>
      <c r="O142" s="505">
        <f t="shared" si="32"/>
        <v>0</v>
      </c>
      <c r="P142" s="505">
        <f t="shared" si="33"/>
        <v>0</v>
      </c>
      <c r="Q142" s="244"/>
      <c r="R142" s="244"/>
      <c r="S142" s="244"/>
      <c r="T142" s="244"/>
      <c r="U142" s="244"/>
    </row>
    <row r="143" spans="2:21" ht="12.5">
      <c r="B143" s="145" t="str">
        <f t="shared" si="26"/>
        <v/>
      </c>
      <c r="C143" s="496">
        <f>IF(D94="","-",+C142+1)</f>
        <v>2055</v>
      </c>
      <c r="D143" s="350">
        <f>IF(F142+SUM(E$100:E142)=D$93,F142,D$93-SUM(E$100:E142))</f>
        <v>0</v>
      </c>
      <c r="E143" s="510">
        <f>IF(+J97&lt;F142,J97,D143)</f>
        <v>0</v>
      </c>
      <c r="F143" s="511">
        <f t="shared" si="34"/>
        <v>0</v>
      </c>
      <c r="G143" s="511">
        <f t="shared" si="27"/>
        <v>0</v>
      </c>
      <c r="H143" s="524">
        <f t="shared" si="28"/>
        <v>0</v>
      </c>
      <c r="I143" s="573">
        <f t="shared" si="29"/>
        <v>0</v>
      </c>
      <c r="J143" s="505">
        <f t="shared" si="30"/>
        <v>0</v>
      </c>
      <c r="K143" s="505"/>
      <c r="L143" s="513"/>
      <c r="M143" s="505">
        <f t="shared" si="31"/>
        <v>0</v>
      </c>
      <c r="N143" s="513"/>
      <c r="O143" s="505">
        <f t="shared" si="32"/>
        <v>0</v>
      </c>
      <c r="P143" s="505">
        <f t="shared" si="33"/>
        <v>0</v>
      </c>
      <c r="Q143" s="244"/>
      <c r="R143" s="244"/>
      <c r="S143" s="244"/>
      <c r="T143" s="244"/>
      <c r="U143" s="244"/>
    </row>
    <row r="144" spans="2:21" ht="12.5">
      <c r="B144" s="145" t="str">
        <f t="shared" si="26"/>
        <v/>
      </c>
      <c r="C144" s="496">
        <f>IF(D94="","-",+C143+1)</f>
        <v>2056</v>
      </c>
      <c r="D144" s="350">
        <f>IF(F143+SUM(E$100:E143)=D$93,F143,D$93-SUM(E$100:E143))</f>
        <v>0</v>
      </c>
      <c r="E144" s="510">
        <f>IF(+J97&lt;F143,J97,D144)</f>
        <v>0</v>
      </c>
      <c r="F144" s="511">
        <f t="shared" si="34"/>
        <v>0</v>
      </c>
      <c r="G144" s="511">
        <f t="shared" si="27"/>
        <v>0</v>
      </c>
      <c r="H144" s="524">
        <f t="shared" si="28"/>
        <v>0</v>
      </c>
      <c r="I144" s="573">
        <f t="shared" si="29"/>
        <v>0</v>
      </c>
      <c r="J144" s="505">
        <f t="shared" si="30"/>
        <v>0</v>
      </c>
      <c r="K144" s="505"/>
      <c r="L144" s="513"/>
      <c r="M144" s="505">
        <f t="shared" si="31"/>
        <v>0</v>
      </c>
      <c r="N144" s="513"/>
      <c r="O144" s="505">
        <f t="shared" si="32"/>
        <v>0</v>
      </c>
      <c r="P144" s="505">
        <f t="shared" si="33"/>
        <v>0</v>
      </c>
      <c r="Q144" s="244"/>
      <c r="R144" s="244"/>
      <c r="S144" s="244"/>
      <c r="T144" s="244"/>
      <c r="U144" s="244"/>
    </row>
    <row r="145" spans="2:21" ht="12.5">
      <c r="B145" s="145" t="str">
        <f t="shared" si="26"/>
        <v/>
      </c>
      <c r="C145" s="496">
        <f>IF(D94="","-",+C144+1)</f>
        <v>2057</v>
      </c>
      <c r="D145" s="350">
        <f>IF(F144+SUM(E$100:E144)=D$93,F144,D$93-SUM(E$100:E144))</f>
        <v>0</v>
      </c>
      <c r="E145" s="510">
        <f>IF(+J97&lt;F144,J97,D145)</f>
        <v>0</v>
      </c>
      <c r="F145" s="511">
        <f t="shared" si="34"/>
        <v>0</v>
      </c>
      <c r="G145" s="511">
        <f t="shared" si="27"/>
        <v>0</v>
      </c>
      <c r="H145" s="524">
        <f t="shared" si="28"/>
        <v>0</v>
      </c>
      <c r="I145" s="573">
        <f t="shared" si="29"/>
        <v>0</v>
      </c>
      <c r="J145" s="505">
        <f t="shared" si="30"/>
        <v>0</v>
      </c>
      <c r="K145" s="505"/>
      <c r="L145" s="513"/>
      <c r="M145" s="505">
        <f t="shared" si="31"/>
        <v>0</v>
      </c>
      <c r="N145" s="513"/>
      <c r="O145" s="505">
        <f t="shared" si="32"/>
        <v>0</v>
      </c>
      <c r="P145" s="505">
        <f t="shared" si="33"/>
        <v>0</v>
      </c>
      <c r="Q145" s="244"/>
      <c r="R145" s="244"/>
      <c r="S145" s="244"/>
      <c r="T145" s="244"/>
      <c r="U145" s="244"/>
    </row>
    <row r="146" spans="2:21" ht="12.5">
      <c r="B146" s="145" t="str">
        <f t="shared" si="26"/>
        <v/>
      </c>
      <c r="C146" s="496">
        <f>IF(D94="","-",+C145+1)</f>
        <v>2058</v>
      </c>
      <c r="D146" s="350">
        <f>IF(F145+SUM(E$100:E145)=D$93,F145,D$93-SUM(E$100:E145))</f>
        <v>0</v>
      </c>
      <c r="E146" s="510">
        <f>IF(+J97&lt;F145,J97,D146)</f>
        <v>0</v>
      </c>
      <c r="F146" s="511">
        <f t="shared" si="34"/>
        <v>0</v>
      </c>
      <c r="G146" s="511">
        <f t="shared" si="27"/>
        <v>0</v>
      </c>
      <c r="H146" s="524">
        <f t="shared" si="28"/>
        <v>0</v>
      </c>
      <c r="I146" s="573">
        <f t="shared" si="29"/>
        <v>0</v>
      </c>
      <c r="J146" s="505">
        <f t="shared" si="30"/>
        <v>0</v>
      </c>
      <c r="K146" s="505"/>
      <c r="L146" s="513"/>
      <c r="M146" s="505">
        <f t="shared" si="31"/>
        <v>0</v>
      </c>
      <c r="N146" s="513"/>
      <c r="O146" s="505">
        <f t="shared" si="32"/>
        <v>0</v>
      </c>
      <c r="P146" s="505">
        <f t="shared" si="33"/>
        <v>0</v>
      </c>
      <c r="Q146" s="244"/>
      <c r="R146" s="244"/>
      <c r="S146" s="244"/>
      <c r="T146" s="244"/>
      <c r="U146" s="244"/>
    </row>
    <row r="147" spans="2:21" ht="12.5">
      <c r="B147" s="145" t="str">
        <f t="shared" si="26"/>
        <v/>
      </c>
      <c r="C147" s="496">
        <f>IF(D94="","-",+C146+1)</f>
        <v>2059</v>
      </c>
      <c r="D147" s="350">
        <f>IF(F146+SUM(E$100:E146)=D$93,F146,D$93-SUM(E$100:E146))</f>
        <v>0</v>
      </c>
      <c r="E147" s="510">
        <f>IF(+J97&lt;F146,J97,D147)</f>
        <v>0</v>
      </c>
      <c r="F147" s="511">
        <f t="shared" si="34"/>
        <v>0</v>
      </c>
      <c r="G147" s="511">
        <f t="shared" si="27"/>
        <v>0</v>
      </c>
      <c r="H147" s="524">
        <f t="shared" si="28"/>
        <v>0</v>
      </c>
      <c r="I147" s="573">
        <f t="shared" si="29"/>
        <v>0</v>
      </c>
      <c r="J147" s="505">
        <f t="shared" si="30"/>
        <v>0</v>
      </c>
      <c r="K147" s="505"/>
      <c r="L147" s="513"/>
      <c r="M147" s="505">
        <f t="shared" si="31"/>
        <v>0</v>
      </c>
      <c r="N147" s="513"/>
      <c r="O147" s="505">
        <f t="shared" si="32"/>
        <v>0</v>
      </c>
      <c r="P147" s="505">
        <f t="shared" si="33"/>
        <v>0</v>
      </c>
      <c r="Q147" s="244"/>
      <c r="R147" s="244"/>
      <c r="S147" s="244"/>
      <c r="T147" s="244"/>
      <c r="U147" s="244"/>
    </row>
    <row r="148" spans="2:21" ht="12.5">
      <c r="B148" s="145" t="str">
        <f t="shared" si="26"/>
        <v/>
      </c>
      <c r="C148" s="496">
        <f>IF(D94="","-",+C147+1)</f>
        <v>2060</v>
      </c>
      <c r="D148" s="350">
        <f>IF(F147+SUM(E$100:E147)=D$93,F147,D$93-SUM(E$100:E147))</f>
        <v>0</v>
      </c>
      <c r="E148" s="510">
        <f>IF(+J97&lt;F147,J97,D148)</f>
        <v>0</v>
      </c>
      <c r="F148" s="511">
        <f t="shared" si="34"/>
        <v>0</v>
      </c>
      <c r="G148" s="511">
        <f t="shared" si="27"/>
        <v>0</v>
      </c>
      <c r="H148" s="524">
        <f t="shared" si="28"/>
        <v>0</v>
      </c>
      <c r="I148" s="573">
        <f t="shared" si="29"/>
        <v>0</v>
      </c>
      <c r="J148" s="505">
        <f t="shared" si="30"/>
        <v>0</v>
      </c>
      <c r="K148" s="505"/>
      <c r="L148" s="513"/>
      <c r="M148" s="505">
        <f t="shared" si="31"/>
        <v>0</v>
      </c>
      <c r="N148" s="513"/>
      <c r="O148" s="505">
        <f t="shared" si="32"/>
        <v>0</v>
      </c>
      <c r="P148" s="505">
        <f t="shared" si="33"/>
        <v>0</v>
      </c>
      <c r="Q148" s="244"/>
      <c r="R148" s="244"/>
      <c r="S148" s="244"/>
      <c r="T148" s="244"/>
      <c r="U148" s="244"/>
    </row>
    <row r="149" spans="2:21" ht="12.5">
      <c r="B149" s="145" t="str">
        <f t="shared" si="26"/>
        <v/>
      </c>
      <c r="C149" s="496">
        <f>IF(D94="","-",+C148+1)</f>
        <v>2061</v>
      </c>
      <c r="D149" s="350">
        <f>IF(F148+SUM(E$100:E148)=D$93,F148,D$93-SUM(E$100:E148))</f>
        <v>0</v>
      </c>
      <c r="E149" s="510">
        <f>IF(+J97&lt;F148,J97,D149)</f>
        <v>0</v>
      </c>
      <c r="F149" s="511">
        <f t="shared" si="34"/>
        <v>0</v>
      </c>
      <c r="G149" s="511">
        <f t="shared" si="27"/>
        <v>0</v>
      </c>
      <c r="H149" s="524">
        <f t="shared" si="28"/>
        <v>0</v>
      </c>
      <c r="I149" s="573">
        <f t="shared" si="29"/>
        <v>0</v>
      </c>
      <c r="J149" s="505">
        <f t="shared" si="30"/>
        <v>0</v>
      </c>
      <c r="K149" s="505"/>
      <c r="L149" s="513"/>
      <c r="M149" s="505">
        <f t="shared" si="31"/>
        <v>0</v>
      </c>
      <c r="N149" s="513"/>
      <c r="O149" s="505">
        <f t="shared" si="32"/>
        <v>0</v>
      </c>
      <c r="P149" s="505">
        <f t="shared" si="33"/>
        <v>0</v>
      </c>
      <c r="Q149" s="244"/>
      <c r="R149" s="244"/>
      <c r="S149" s="244"/>
      <c r="T149" s="244"/>
      <c r="U149" s="244"/>
    </row>
    <row r="150" spans="2:21" ht="12.5">
      <c r="B150" s="145" t="str">
        <f t="shared" si="26"/>
        <v/>
      </c>
      <c r="C150" s="496">
        <f>IF(D94="","-",+C149+1)</f>
        <v>2062</v>
      </c>
      <c r="D150" s="350">
        <f>IF(F149+SUM(E$100:E149)=D$93,F149,D$93-SUM(E$100:E149))</f>
        <v>0</v>
      </c>
      <c r="E150" s="510">
        <f>IF(+J97&lt;F149,J97,D150)</f>
        <v>0</v>
      </c>
      <c r="F150" s="511">
        <f t="shared" si="34"/>
        <v>0</v>
      </c>
      <c r="G150" s="511">
        <f t="shared" si="27"/>
        <v>0</v>
      </c>
      <c r="H150" s="524">
        <f t="shared" si="28"/>
        <v>0</v>
      </c>
      <c r="I150" s="573">
        <f t="shared" si="29"/>
        <v>0</v>
      </c>
      <c r="J150" s="505">
        <f t="shared" si="30"/>
        <v>0</v>
      </c>
      <c r="K150" s="505"/>
      <c r="L150" s="513"/>
      <c r="M150" s="505">
        <f t="shared" si="31"/>
        <v>0</v>
      </c>
      <c r="N150" s="513"/>
      <c r="O150" s="505">
        <f t="shared" si="32"/>
        <v>0</v>
      </c>
      <c r="P150" s="505">
        <f t="shared" si="33"/>
        <v>0</v>
      </c>
      <c r="Q150" s="244"/>
      <c r="R150" s="244"/>
      <c r="S150" s="244"/>
      <c r="T150" s="244"/>
      <c r="U150" s="244"/>
    </row>
    <row r="151" spans="2:21" ht="12.5">
      <c r="B151" s="145" t="str">
        <f t="shared" si="26"/>
        <v/>
      </c>
      <c r="C151" s="496">
        <f>IF(D94="","-",+C150+1)</f>
        <v>2063</v>
      </c>
      <c r="D151" s="350">
        <f>IF(F150+SUM(E$100:E150)=D$93,F150,D$93-SUM(E$100:E150))</f>
        <v>0</v>
      </c>
      <c r="E151" s="510">
        <f>IF(+J97&lt;F150,J97,D151)</f>
        <v>0</v>
      </c>
      <c r="F151" s="511">
        <f t="shared" si="34"/>
        <v>0</v>
      </c>
      <c r="G151" s="511">
        <f t="shared" si="27"/>
        <v>0</v>
      </c>
      <c r="H151" s="524">
        <f t="shared" si="28"/>
        <v>0</v>
      </c>
      <c r="I151" s="573">
        <f t="shared" si="29"/>
        <v>0</v>
      </c>
      <c r="J151" s="505">
        <f t="shared" si="30"/>
        <v>0</v>
      </c>
      <c r="K151" s="505"/>
      <c r="L151" s="513"/>
      <c r="M151" s="505">
        <f t="shared" si="31"/>
        <v>0</v>
      </c>
      <c r="N151" s="513"/>
      <c r="O151" s="505">
        <f t="shared" si="32"/>
        <v>0</v>
      </c>
      <c r="P151" s="505">
        <f t="shared" si="33"/>
        <v>0</v>
      </c>
      <c r="Q151" s="244"/>
      <c r="R151" s="244"/>
      <c r="S151" s="244"/>
      <c r="T151" s="244"/>
      <c r="U151" s="244"/>
    </row>
    <row r="152" spans="2:21" ht="12.5">
      <c r="B152" s="145" t="str">
        <f t="shared" si="26"/>
        <v/>
      </c>
      <c r="C152" s="496">
        <f>IF(D94="","-",+C151+1)</f>
        <v>2064</v>
      </c>
      <c r="D152" s="350">
        <f>IF(F151+SUM(E$100:E151)=D$93,F151,D$93-SUM(E$100:E151))</f>
        <v>0</v>
      </c>
      <c r="E152" s="510">
        <f>IF(+J97&lt;F151,J97,D152)</f>
        <v>0</v>
      </c>
      <c r="F152" s="511">
        <f t="shared" si="34"/>
        <v>0</v>
      </c>
      <c r="G152" s="511">
        <f t="shared" si="27"/>
        <v>0</v>
      </c>
      <c r="H152" s="524">
        <f t="shared" si="28"/>
        <v>0</v>
      </c>
      <c r="I152" s="573">
        <f t="shared" si="29"/>
        <v>0</v>
      </c>
      <c r="J152" s="505">
        <f t="shared" si="30"/>
        <v>0</v>
      </c>
      <c r="K152" s="505"/>
      <c r="L152" s="513"/>
      <c r="M152" s="505">
        <f t="shared" si="31"/>
        <v>0</v>
      </c>
      <c r="N152" s="513"/>
      <c r="O152" s="505">
        <f t="shared" si="32"/>
        <v>0</v>
      </c>
      <c r="P152" s="505">
        <f t="shared" si="33"/>
        <v>0</v>
      </c>
      <c r="Q152" s="244"/>
      <c r="R152" s="244"/>
      <c r="S152" s="244"/>
      <c r="T152" s="244"/>
      <c r="U152" s="244"/>
    </row>
    <row r="153" spans="2:21" ht="12.5">
      <c r="B153" s="145" t="str">
        <f t="shared" si="26"/>
        <v/>
      </c>
      <c r="C153" s="496">
        <f>IF(D94="","-",+C152+1)</f>
        <v>2065</v>
      </c>
      <c r="D153" s="350">
        <f>IF(F152+SUM(E$100:E152)=D$93,F152,D$93-SUM(E$100:E152))</f>
        <v>0</v>
      </c>
      <c r="E153" s="510">
        <f>IF(+J97&lt;F152,J97,D153)</f>
        <v>0</v>
      </c>
      <c r="F153" s="511">
        <f t="shared" si="34"/>
        <v>0</v>
      </c>
      <c r="G153" s="511">
        <f t="shared" si="27"/>
        <v>0</v>
      </c>
      <c r="H153" s="524">
        <f t="shared" si="28"/>
        <v>0</v>
      </c>
      <c r="I153" s="573">
        <f t="shared" si="29"/>
        <v>0</v>
      </c>
      <c r="J153" s="505">
        <f t="shared" si="30"/>
        <v>0</v>
      </c>
      <c r="K153" s="505"/>
      <c r="L153" s="513"/>
      <c r="M153" s="505">
        <f t="shared" si="31"/>
        <v>0</v>
      </c>
      <c r="N153" s="513"/>
      <c r="O153" s="505">
        <f t="shared" si="32"/>
        <v>0</v>
      </c>
      <c r="P153" s="505">
        <f t="shared" si="33"/>
        <v>0</v>
      </c>
      <c r="Q153" s="244"/>
      <c r="R153" s="244"/>
      <c r="S153" s="244"/>
      <c r="T153" s="244"/>
      <c r="U153" s="244"/>
    </row>
    <row r="154" spans="2:21" ht="12.5">
      <c r="B154" s="145" t="str">
        <f t="shared" si="26"/>
        <v/>
      </c>
      <c r="C154" s="496">
        <f>IF(D94="","-",+C153+1)</f>
        <v>2066</v>
      </c>
      <c r="D154" s="350">
        <f>IF(F153+SUM(E$100:E153)=D$93,F153,D$93-SUM(E$100:E153))</f>
        <v>0</v>
      </c>
      <c r="E154" s="510">
        <f>IF(+J97&lt;F153,J97,D154)</f>
        <v>0</v>
      </c>
      <c r="F154" s="511">
        <f t="shared" si="34"/>
        <v>0</v>
      </c>
      <c r="G154" s="511">
        <f t="shared" si="27"/>
        <v>0</v>
      </c>
      <c r="H154" s="524">
        <f t="shared" si="28"/>
        <v>0</v>
      </c>
      <c r="I154" s="573">
        <f t="shared" si="29"/>
        <v>0</v>
      </c>
      <c r="J154" s="505">
        <f t="shared" si="30"/>
        <v>0</v>
      </c>
      <c r="K154" s="505"/>
      <c r="L154" s="513"/>
      <c r="M154" s="505">
        <f t="shared" si="31"/>
        <v>0</v>
      </c>
      <c r="N154" s="513"/>
      <c r="O154" s="505">
        <f t="shared" si="32"/>
        <v>0</v>
      </c>
      <c r="P154" s="505">
        <f t="shared" si="33"/>
        <v>0</v>
      </c>
      <c r="Q154" s="244"/>
      <c r="R154" s="244"/>
      <c r="S154" s="244"/>
      <c r="T154" s="244"/>
      <c r="U154" s="244"/>
    </row>
    <row r="155" spans="2:21" ht="13" thickBot="1">
      <c r="B155" s="145" t="str">
        <f t="shared" si="26"/>
        <v/>
      </c>
      <c r="C155" s="525">
        <f>IF(D94="","-",+C154+1)</f>
        <v>2067</v>
      </c>
      <c r="D155" s="528">
        <f>IF(F154+SUM(E$100:E154)=D$93,F154,D$93-SUM(E$100:E154))</f>
        <v>0</v>
      </c>
      <c r="E155" s="527">
        <f>IF(+J97&lt;F154,J97,D155)</f>
        <v>0</v>
      </c>
      <c r="F155" s="528">
        <f t="shared" si="34"/>
        <v>0</v>
      </c>
      <c r="G155" s="528">
        <f t="shared" si="27"/>
        <v>0</v>
      </c>
      <c r="H155" s="529">
        <f t="shared" si="28"/>
        <v>0</v>
      </c>
      <c r="I155" s="574">
        <f t="shared" si="29"/>
        <v>0</v>
      </c>
      <c r="J155" s="532">
        <f t="shared" si="30"/>
        <v>0</v>
      </c>
      <c r="K155" s="505"/>
      <c r="L155" s="531"/>
      <c r="M155" s="532">
        <f t="shared" si="31"/>
        <v>0</v>
      </c>
      <c r="N155" s="531"/>
      <c r="O155" s="532">
        <f t="shared" si="32"/>
        <v>0</v>
      </c>
      <c r="P155" s="532">
        <f t="shared" si="33"/>
        <v>0</v>
      </c>
      <c r="Q155" s="244"/>
      <c r="R155" s="244"/>
      <c r="S155" s="244"/>
      <c r="T155" s="244"/>
      <c r="U155" s="244"/>
    </row>
    <row r="156" spans="2:21" ht="12.5">
      <c r="C156" s="350" t="s">
        <v>75</v>
      </c>
      <c r="D156" s="295"/>
      <c r="E156" s="295">
        <f>SUM(E100:E155)</f>
        <v>0</v>
      </c>
      <c r="F156" s="295"/>
      <c r="G156" s="295"/>
      <c r="H156" s="295">
        <f>SUM(H100:H155)</f>
        <v>0</v>
      </c>
      <c r="I156" s="295">
        <f>SUM(I100:I155)</f>
        <v>0</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51" priority="1" stopIfTrue="1" operator="equal">
      <formula>$I$10</formula>
    </cfRule>
  </conditionalFormatting>
  <conditionalFormatting sqref="C100:C155">
    <cfRule type="cellIs" dxfId="50"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4"/>
  <dimension ref="A1:U163"/>
  <sheetViews>
    <sheetView view="pageBreakPreview" topLeftCell="A60" zoomScale="85" zoomScaleNormal="100" workbookViewId="0">
      <selection activeCell="D96" sqref="D96"/>
    </sheetView>
  </sheetViews>
  <sheetFormatPr defaultColWidth="8.7265625" defaultRowHeight="12.75" customHeight="1"/>
  <cols>
    <col min="1" max="1" width="4.7265625" style="145" customWidth="1"/>
    <col min="2" max="2" width="6.7265625" style="145" customWidth="1"/>
    <col min="3" max="3" width="23.26953125" style="145" customWidth="1"/>
    <col min="4" max="8" width="17.7265625" style="145" customWidth="1"/>
    <col min="9" max="9" width="20.453125" style="145" customWidth="1"/>
    <col min="10" max="10" width="16.453125" style="145" customWidth="1"/>
    <col min="11" max="11" width="17.7265625" style="145" customWidth="1"/>
    <col min="12" max="12" width="16.1796875" style="145" customWidth="1"/>
    <col min="13" max="13" width="17.7265625" style="145" customWidth="1"/>
    <col min="14" max="14" width="16.7265625" style="145" customWidth="1"/>
    <col min="15" max="15" width="16.81640625" style="145" customWidth="1"/>
    <col min="16" max="16" width="24.453125" style="145" customWidth="1"/>
    <col min="17" max="17" width="4.7265625" style="145" customWidth="1"/>
    <col min="18" max="22" width="8.7265625" style="145"/>
    <col min="23" max="23" width="9.1796875" style="145" customWidth="1"/>
    <col min="24" max="16384" width="8.7265625" style="145"/>
  </cols>
  <sheetData>
    <row r="1" spans="1:21" ht="20">
      <c r="A1" s="438" t="s">
        <v>189</v>
      </c>
      <c r="B1" s="244"/>
      <c r="C1" s="249"/>
      <c r="D1" s="293"/>
      <c r="E1" s="244"/>
      <c r="F1" s="340"/>
      <c r="G1" s="244"/>
      <c r="H1" s="326"/>
      <c r="J1" s="221"/>
      <c r="K1" s="439"/>
      <c r="L1" s="439"/>
      <c r="M1" s="439"/>
      <c r="P1" s="440" t="str">
        <f ca="1">"OKT Project "&amp;RIGHT(MID(CELL("filename",$A$1),FIND("]",CELL("filename",$A$1))+1,256),1)&amp;" of "&amp;COUNT('OKT.001:OKT.xyz - blank'!$P$3)-1</f>
        <v>OKT Project 6 of 23</v>
      </c>
      <c r="Q1" s="441"/>
      <c r="R1" s="244"/>
      <c r="S1" s="244"/>
      <c r="T1" s="244"/>
      <c r="U1" s="244">
        <v>2017</v>
      </c>
    </row>
    <row r="2" spans="1:21" ht="17.5">
      <c r="B2" s="244"/>
      <c r="C2" s="244"/>
      <c r="D2" s="293"/>
      <c r="E2" s="244"/>
      <c r="F2" s="244"/>
      <c r="G2" s="244"/>
      <c r="H2" s="326"/>
      <c r="I2" s="244"/>
      <c r="J2" s="279"/>
      <c r="K2" s="244"/>
      <c r="L2" s="244"/>
      <c r="M2" s="244"/>
      <c r="N2" s="244"/>
      <c r="P2" s="442" t="s">
        <v>131</v>
      </c>
      <c r="R2" s="244"/>
      <c r="S2" s="244"/>
      <c r="T2" s="244"/>
      <c r="U2" s="244"/>
    </row>
    <row r="3" spans="1:21" ht="18">
      <c r="B3" s="234" t="s">
        <v>42</v>
      </c>
      <c r="C3" s="306" t="s">
        <v>43</v>
      </c>
      <c r="D3" s="293"/>
      <c r="E3" s="244"/>
      <c r="F3" s="244"/>
      <c r="G3" s="244"/>
      <c r="H3" s="326" t="str">
        <f>"For Calendar Year "&amp;V1-1&amp;" and Projected Year "&amp;V1</f>
        <v xml:space="preserve">For Calendar Year -1 and Projected Year </v>
      </c>
      <c r="I3" s="326"/>
      <c r="J3" s="295"/>
      <c r="K3" s="326"/>
      <c r="L3" s="326"/>
      <c r="M3" s="326"/>
      <c r="N3" s="326"/>
      <c r="O3" s="244"/>
      <c r="P3" s="578">
        <v>1</v>
      </c>
      <c r="R3" s="244"/>
      <c r="S3" s="244"/>
      <c r="T3" s="244"/>
      <c r="U3" s="244"/>
    </row>
    <row r="4" spans="1:21" ht="16" thickBot="1">
      <c r="C4" s="305"/>
      <c r="D4" s="293"/>
      <c r="E4" s="244"/>
      <c r="F4" s="244"/>
      <c r="G4" s="244"/>
      <c r="H4" s="326"/>
      <c r="I4" s="326"/>
      <c r="J4" s="295"/>
      <c r="K4" s="326"/>
      <c r="L4" s="326"/>
      <c r="M4" s="326"/>
      <c r="N4" s="326"/>
      <c r="O4" s="244"/>
      <c r="P4" s="244"/>
      <c r="R4" s="244"/>
      <c r="S4" s="244"/>
      <c r="T4" s="244"/>
      <c r="U4" s="244"/>
    </row>
    <row r="5" spans="1:21" ht="15.5">
      <c r="C5" s="444" t="s">
        <v>44</v>
      </c>
      <c r="D5" s="293"/>
      <c r="E5" s="244"/>
      <c r="F5" s="244"/>
      <c r="G5" s="445"/>
      <c r="H5" s="244" t="s">
        <v>45</v>
      </c>
      <c r="I5" s="244"/>
      <c r="J5" s="279"/>
      <c r="K5" s="446" t="s">
        <v>242</v>
      </c>
      <c r="L5" s="447"/>
      <c r="M5" s="448"/>
      <c r="N5" s="449">
        <f>VLOOKUP(I10,C17:I73,5)</f>
        <v>3505662.168801737</v>
      </c>
      <c r="P5" s="244"/>
      <c r="R5" s="244"/>
      <c r="S5" s="244"/>
      <c r="T5" s="244"/>
      <c r="U5" s="244"/>
    </row>
    <row r="6" spans="1:21" ht="15.5">
      <c r="C6" s="236"/>
      <c r="D6" s="293"/>
      <c r="E6" s="244"/>
      <c r="F6" s="244"/>
      <c r="G6" s="244"/>
      <c r="H6" s="450"/>
      <c r="I6" s="450"/>
      <c r="J6" s="451"/>
      <c r="K6" s="452" t="s">
        <v>243</v>
      </c>
      <c r="L6" s="453"/>
      <c r="M6" s="279"/>
      <c r="N6" s="454">
        <f>VLOOKUP(I10,C17:I73,6)</f>
        <v>3505662.168801737</v>
      </c>
      <c r="O6" s="244"/>
      <c r="P6" s="244"/>
      <c r="R6" s="244"/>
      <c r="S6" s="244"/>
      <c r="T6" s="244"/>
      <c r="U6" s="244"/>
    </row>
    <row r="7" spans="1:21" ht="13.5" thickBot="1">
      <c r="C7" s="455" t="s">
        <v>46</v>
      </c>
      <c r="D7" s="456" t="s">
        <v>206</v>
      </c>
      <c r="E7" s="244"/>
      <c r="F7" s="244"/>
      <c r="G7" s="244"/>
      <c r="H7" s="326"/>
      <c r="I7" s="326"/>
      <c r="J7" s="295"/>
      <c r="K7" s="457" t="s">
        <v>47</v>
      </c>
      <c r="L7" s="458"/>
      <c r="M7" s="458"/>
      <c r="N7" s="459">
        <f>+N6-N5</f>
        <v>0</v>
      </c>
      <c r="O7" s="244"/>
      <c r="P7" s="244"/>
      <c r="R7" s="244"/>
      <c r="S7" s="244"/>
      <c r="T7" s="244"/>
      <c r="U7" s="244"/>
    </row>
    <row r="8" spans="1:21" ht="13.5" thickBot="1">
      <c r="C8" s="460"/>
      <c r="D8" s="461" t="str">
        <f>IF(D10&lt;100000,"DOES NOT MEET SPP $100,000 MINIMUM INVESTMENT FOR REGIONAL BPU SHARING.","")</f>
        <v/>
      </c>
      <c r="E8" s="462"/>
      <c r="F8" s="462"/>
      <c r="G8" s="462"/>
      <c r="H8" s="462"/>
      <c r="I8" s="462"/>
      <c r="J8" s="463"/>
      <c r="K8" s="462"/>
      <c r="L8" s="462"/>
      <c r="M8" s="462"/>
      <c r="N8" s="462"/>
      <c r="O8" s="463"/>
      <c r="P8" s="249"/>
      <c r="R8" s="244"/>
      <c r="S8" s="244"/>
      <c r="T8" s="244"/>
      <c r="U8" s="244"/>
    </row>
    <row r="9" spans="1:21" ht="13.5" thickBot="1">
      <c r="A9" s="152"/>
      <c r="C9" s="464" t="s">
        <v>48</v>
      </c>
      <c r="D9" s="465" t="s">
        <v>205</v>
      </c>
      <c r="E9" s="466"/>
      <c r="F9" s="466"/>
      <c r="G9" s="466"/>
      <c r="H9" s="466"/>
      <c r="I9" s="467"/>
      <c r="J9" s="468"/>
      <c r="O9" s="469"/>
      <c r="P9" s="279"/>
      <c r="R9" s="244"/>
      <c r="S9" s="244"/>
      <c r="T9" s="244"/>
      <c r="U9" s="244"/>
    </row>
    <row r="10" spans="1:21" ht="13">
      <c r="C10" s="470" t="s">
        <v>49</v>
      </c>
      <c r="D10" s="471">
        <v>28914236</v>
      </c>
      <c r="E10" s="300" t="s">
        <v>50</v>
      </c>
      <c r="F10" s="469"/>
      <c r="G10" s="409"/>
      <c r="H10" s="409"/>
      <c r="I10" s="472">
        <f>+'OKT.WS.F.BPU.ATRR.Projected'!R100</f>
        <v>2022</v>
      </c>
      <c r="J10" s="468"/>
      <c r="K10" s="295" t="s">
        <v>51</v>
      </c>
      <c r="O10" s="279"/>
      <c r="P10" s="279"/>
      <c r="R10" s="244"/>
      <c r="S10" s="244"/>
      <c r="T10" s="244"/>
      <c r="U10" s="244"/>
    </row>
    <row r="11" spans="1:21" ht="12.5">
      <c r="C11" s="473" t="s">
        <v>52</v>
      </c>
      <c r="D11" s="474">
        <v>2013</v>
      </c>
      <c r="E11" s="473" t="s">
        <v>53</v>
      </c>
      <c r="F11" s="409"/>
      <c r="G11" s="221"/>
      <c r="H11" s="221"/>
      <c r="I11" s="475">
        <v>0</v>
      </c>
      <c r="J11" s="476"/>
      <c r="K11" s="145" t="str">
        <f>"          INPUT PROJECTED ARR (WITH &amp; WITHOUT INCENTIVES) FROM EACH PRIOR YEAR"</f>
        <v xml:space="preserve">          INPUT PROJECTED ARR (WITH &amp; WITHOUT INCENTIVES) FROM EACH PRIOR YEAR</v>
      </c>
      <c r="O11" s="279"/>
      <c r="P11" s="279"/>
      <c r="R11" s="244"/>
      <c r="S11" s="244"/>
      <c r="T11" s="244"/>
      <c r="U11" s="244"/>
    </row>
    <row r="12" spans="1:21" ht="12.5">
      <c r="C12" s="473" t="s">
        <v>54</v>
      </c>
      <c r="D12" s="471">
        <v>8</v>
      </c>
      <c r="E12" s="473" t="s">
        <v>55</v>
      </c>
      <c r="F12" s="409"/>
      <c r="G12" s="221"/>
      <c r="H12" s="221"/>
      <c r="I12" s="477">
        <f>'OKT.WS.F.BPU.ATRR.Projected'!$F$78</f>
        <v>0.11475877389767174</v>
      </c>
      <c r="J12" s="579"/>
      <c r="K12" s="145" t="s">
        <v>56</v>
      </c>
      <c r="O12" s="279"/>
      <c r="P12" s="279"/>
      <c r="R12" s="244"/>
      <c r="S12" s="244"/>
      <c r="T12" s="244"/>
      <c r="U12" s="244"/>
    </row>
    <row r="13" spans="1:21" ht="12.5">
      <c r="C13" s="473" t="s">
        <v>57</v>
      </c>
      <c r="D13" s="475">
        <f>'OKT.WS.F.BPU.ATRR.Projected'!F89</f>
        <v>33</v>
      </c>
      <c r="E13" s="473" t="s">
        <v>58</v>
      </c>
      <c r="F13" s="409"/>
      <c r="G13" s="221"/>
      <c r="H13" s="221"/>
      <c r="I13" s="477">
        <f>IF(G5="",I12,'OKT.WS.F.BPU.ATRR.Projected'!$F$77)</f>
        <v>0.11475877389767174</v>
      </c>
      <c r="J13" s="414"/>
      <c r="K13" s="295" t="s">
        <v>59</v>
      </c>
      <c r="L13" s="292"/>
      <c r="M13" s="292"/>
      <c r="N13" s="292"/>
      <c r="O13" s="279"/>
      <c r="P13" s="279"/>
      <c r="R13" s="244"/>
      <c r="S13" s="244"/>
      <c r="T13" s="244"/>
      <c r="U13" s="244"/>
    </row>
    <row r="14" spans="1:21" ht="13" thickBot="1">
      <c r="C14" s="473" t="s">
        <v>60</v>
      </c>
      <c r="D14" s="474" t="s">
        <v>61</v>
      </c>
      <c r="E14" s="279" t="s">
        <v>62</v>
      </c>
      <c r="F14" s="409"/>
      <c r="G14" s="221"/>
      <c r="H14" s="221"/>
      <c r="I14" s="478">
        <f>IF(D10=0,0,D10/D13)</f>
        <v>876188.96969696973</v>
      </c>
      <c r="J14" s="295"/>
      <c r="K14" s="295"/>
      <c r="L14" s="295"/>
      <c r="M14" s="295"/>
      <c r="N14" s="295"/>
      <c r="O14" s="279"/>
      <c r="P14" s="279"/>
      <c r="R14" s="244"/>
      <c r="S14" s="244"/>
      <c r="T14" s="244"/>
      <c r="U14" s="244"/>
    </row>
    <row r="15" spans="1:21" ht="39">
      <c r="C15" s="479" t="s">
        <v>49</v>
      </c>
      <c r="D15" s="480" t="s">
        <v>193</v>
      </c>
      <c r="E15" s="481" t="s">
        <v>63</v>
      </c>
      <c r="F15" s="481" t="s">
        <v>64</v>
      </c>
      <c r="G15" s="482" t="s">
        <v>251</v>
      </c>
      <c r="H15" s="483" t="s">
        <v>252</v>
      </c>
      <c r="I15" s="479" t="s">
        <v>65</v>
      </c>
      <c r="J15" s="484"/>
      <c r="K15" s="480" t="s">
        <v>176</v>
      </c>
      <c r="L15" s="485" t="s">
        <v>66</v>
      </c>
      <c r="M15" s="480" t="s">
        <v>176</v>
      </c>
      <c r="N15" s="485" t="s">
        <v>66</v>
      </c>
      <c r="O15" s="486" t="s">
        <v>67</v>
      </c>
      <c r="P15" s="279"/>
      <c r="R15" s="244"/>
      <c r="S15" s="244"/>
      <c r="T15" s="244"/>
      <c r="U15" s="244"/>
    </row>
    <row r="16" spans="1:21" ht="13.5" thickBot="1">
      <c r="C16" s="487" t="s">
        <v>68</v>
      </c>
      <c r="D16" s="488" t="s">
        <v>69</v>
      </c>
      <c r="E16" s="487" t="s">
        <v>70</v>
      </c>
      <c r="F16" s="487" t="s">
        <v>69</v>
      </c>
      <c r="G16" s="580" t="s">
        <v>71</v>
      </c>
      <c r="H16" s="490" t="s">
        <v>72</v>
      </c>
      <c r="I16" s="491" t="s">
        <v>93</v>
      </c>
      <c r="J16" s="492" t="s">
        <v>73</v>
      </c>
      <c r="K16" s="493" t="s">
        <v>74</v>
      </c>
      <c r="L16" s="494" t="s">
        <v>74</v>
      </c>
      <c r="M16" s="493" t="s">
        <v>94</v>
      </c>
      <c r="N16" s="495" t="s">
        <v>94</v>
      </c>
      <c r="O16" s="493" t="s">
        <v>94</v>
      </c>
      <c r="P16" s="279"/>
      <c r="R16" s="244"/>
      <c r="S16" s="244"/>
      <c r="T16" s="244"/>
      <c r="U16" s="244"/>
    </row>
    <row r="17" spans="2:21" ht="12.5">
      <c r="B17" s="145" t="str">
        <f t="shared" ref="B17:B49" si="0">IF(D17=F16,"","IU")</f>
        <v>IU</v>
      </c>
      <c r="C17" s="581">
        <f>IF(D11= "","-",D11)</f>
        <v>2013</v>
      </c>
      <c r="D17" s="497">
        <v>6627800</v>
      </c>
      <c r="E17" s="498">
        <v>57327.852379007891</v>
      </c>
      <c r="F17" s="497">
        <v>6570472.1476209918</v>
      </c>
      <c r="G17" s="499">
        <v>692344.48890277033</v>
      </c>
      <c r="H17" s="500">
        <v>692344.48890277033</v>
      </c>
      <c r="I17" s="585">
        <v>0</v>
      </c>
      <c r="J17" s="501"/>
      <c r="K17" s="502">
        <f t="shared" ref="K17:K22" si="1">G17</f>
        <v>692344.48890277033</v>
      </c>
      <c r="L17" s="608">
        <f t="shared" ref="L17:L49" si="2">IF(K17&lt;&gt;0,+G17-K17,0)</f>
        <v>0</v>
      </c>
      <c r="M17" s="609">
        <f t="shared" ref="M17:M22" si="3">H17</f>
        <v>692344.48890277033</v>
      </c>
      <c r="N17" s="587">
        <f t="shared" ref="N17:N49" si="4">IF(M17&lt;&gt;0,+H17-M17,0)</f>
        <v>0</v>
      </c>
      <c r="O17" s="505">
        <f t="shared" ref="O17:O49" si="5">+N17-L17</f>
        <v>0</v>
      </c>
      <c r="P17" s="279"/>
      <c r="R17" s="244"/>
      <c r="S17" s="244"/>
      <c r="T17" s="244"/>
      <c r="U17" s="244"/>
    </row>
    <row r="18" spans="2:21" ht="12.5">
      <c r="B18" s="145" t="str">
        <f t="shared" si="0"/>
        <v>IU</v>
      </c>
      <c r="C18" s="496">
        <f>IF(D11="","-",+C17+1)</f>
        <v>2014</v>
      </c>
      <c r="D18" s="506">
        <v>28510458.147620991</v>
      </c>
      <c r="E18" s="499">
        <v>494200.13235254184</v>
      </c>
      <c r="F18" s="506">
        <v>28016258.015268449</v>
      </c>
      <c r="G18" s="499">
        <v>3554730.1038106573</v>
      </c>
      <c r="H18" s="500">
        <v>3554730.1038106573</v>
      </c>
      <c r="I18" s="501">
        <v>0</v>
      </c>
      <c r="J18" s="501"/>
      <c r="K18" s="507">
        <f t="shared" si="1"/>
        <v>3554730.1038106573</v>
      </c>
      <c r="L18" s="610">
        <f t="shared" ref="L18:L23" si="6">IF(K18&lt;&gt;0,+G18-K18,0)</f>
        <v>0</v>
      </c>
      <c r="M18" s="611">
        <f t="shared" si="3"/>
        <v>3554730.1038106573</v>
      </c>
      <c r="N18" s="501">
        <f>IF(M18&lt;&gt;0,+H18-M18,0)</f>
        <v>0</v>
      </c>
      <c r="O18" s="505">
        <f>+N18-L18</f>
        <v>0</v>
      </c>
      <c r="P18" s="279"/>
      <c r="R18" s="244"/>
      <c r="S18" s="244"/>
      <c r="T18" s="244"/>
      <c r="U18" s="244"/>
    </row>
    <row r="19" spans="2:21" ht="12.5">
      <c r="B19" s="145" t="str">
        <f t="shared" si="0"/>
        <v>IU</v>
      </c>
      <c r="C19" s="496">
        <f>IF(D11="","-",+C18+1)</f>
        <v>2015</v>
      </c>
      <c r="D19" s="506">
        <v>28130872.015268449</v>
      </c>
      <c r="E19" s="499">
        <v>496182.86401993298</v>
      </c>
      <c r="F19" s="506">
        <v>27634689.151248515</v>
      </c>
      <c r="G19" s="499">
        <v>3536753.8544176081</v>
      </c>
      <c r="H19" s="500">
        <v>3536753.8544176081</v>
      </c>
      <c r="I19" s="501">
        <v>0</v>
      </c>
      <c r="J19" s="501"/>
      <c r="K19" s="507">
        <f t="shared" si="1"/>
        <v>3536753.8544176081</v>
      </c>
      <c r="L19" s="508">
        <f t="shared" si="6"/>
        <v>0</v>
      </c>
      <c r="M19" s="507">
        <f t="shared" si="3"/>
        <v>3536753.8544176081</v>
      </c>
      <c r="N19" s="505">
        <f>IF(M19&lt;&gt;0,+H19-M19,0)</f>
        <v>0</v>
      </c>
      <c r="O19" s="505">
        <f>+N19-L19</f>
        <v>0</v>
      </c>
      <c r="P19" s="279"/>
      <c r="R19" s="244"/>
      <c r="S19" s="244"/>
      <c r="T19" s="244"/>
      <c r="U19" s="244"/>
    </row>
    <row r="20" spans="2:21" ht="12.5">
      <c r="B20" s="145" t="str">
        <f t="shared" si="0"/>
        <v>IU</v>
      </c>
      <c r="C20" s="496">
        <f>IF(D11="","-",+C19+1)</f>
        <v>2016</v>
      </c>
      <c r="D20" s="506">
        <v>27866524.891248517</v>
      </c>
      <c r="E20" s="499">
        <v>600822.03590460983</v>
      </c>
      <c r="F20" s="506">
        <v>27265702.855343908</v>
      </c>
      <c r="G20" s="499">
        <v>3542256.1502628839</v>
      </c>
      <c r="H20" s="500">
        <v>3542256.1502628839</v>
      </c>
      <c r="I20" s="501">
        <f t="shared" ref="I20:I49" si="7">H20-G20</f>
        <v>0</v>
      </c>
      <c r="J20" s="501"/>
      <c r="K20" s="507">
        <f t="shared" si="1"/>
        <v>3542256.1502628839</v>
      </c>
      <c r="L20" s="508">
        <f t="shared" si="6"/>
        <v>0</v>
      </c>
      <c r="M20" s="507">
        <f t="shared" si="3"/>
        <v>3542256.1502628839</v>
      </c>
      <c r="N20" s="505">
        <f t="shared" si="4"/>
        <v>0</v>
      </c>
      <c r="O20" s="505">
        <f t="shared" si="5"/>
        <v>0</v>
      </c>
      <c r="P20" s="279"/>
      <c r="R20" s="244"/>
      <c r="S20" s="244"/>
      <c r="T20" s="244"/>
      <c r="U20" s="244"/>
    </row>
    <row r="21" spans="2:21" ht="12.5">
      <c r="B21" s="145" t="str">
        <f t="shared" si="0"/>
        <v/>
      </c>
      <c r="C21" s="496">
        <f>IF(D12="","-",+C20+1)</f>
        <v>2017</v>
      </c>
      <c r="D21" s="506">
        <v>27265702.855343908</v>
      </c>
      <c r="E21" s="499">
        <v>568511.11858112796</v>
      </c>
      <c r="F21" s="506">
        <v>26697191.736762781</v>
      </c>
      <c r="G21" s="499">
        <v>3534850.6884225709</v>
      </c>
      <c r="H21" s="500">
        <v>3534850.6884225709</v>
      </c>
      <c r="I21" s="501">
        <f t="shared" si="7"/>
        <v>0</v>
      </c>
      <c r="J21" s="501"/>
      <c r="K21" s="507">
        <f t="shared" si="1"/>
        <v>3534850.6884225709</v>
      </c>
      <c r="L21" s="508">
        <f t="shared" si="6"/>
        <v>0</v>
      </c>
      <c r="M21" s="507">
        <f t="shared" si="3"/>
        <v>3534850.6884225709</v>
      </c>
      <c r="N21" s="505">
        <f>IF(M21&lt;&gt;0,+H21-M21,0)</f>
        <v>0</v>
      </c>
      <c r="O21" s="505">
        <f>+N21-L21</f>
        <v>0</v>
      </c>
      <c r="P21" s="279"/>
      <c r="R21" s="244"/>
      <c r="S21" s="244"/>
      <c r="T21" s="244"/>
      <c r="U21" s="244"/>
    </row>
    <row r="22" spans="2:21" ht="12.5">
      <c r="B22" s="145" t="str">
        <f t="shared" si="0"/>
        <v/>
      </c>
      <c r="C22" s="496">
        <f>IF(D11="","-",+C21+1)</f>
        <v>2018</v>
      </c>
      <c r="D22" s="506">
        <v>26697191.736762781</v>
      </c>
      <c r="E22" s="499">
        <v>709109.54353113449</v>
      </c>
      <c r="F22" s="506">
        <v>25988082.193231646</v>
      </c>
      <c r="G22" s="499">
        <v>3386144.4526302526</v>
      </c>
      <c r="H22" s="500">
        <v>3386144.4526302526</v>
      </c>
      <c r="I22" s="501">
        <v>0</v>
      </c>
      <c r="J22" s="501"/>
      <c r="K22" s="507">
        <f t="shared" si="1"/>
        <v>3386144.4526302526</v>
      </c>
      <c r="L22" s="508">
        <f t="shared" si="6"/>
        <v>0</v>
      </c>
      <c r="M22" s="507">
        <f t="shared" si="3"/>
        <v>3386144.4526302526</v>
      </c>
      <c r="N22" s="505">
        <f>IF(M22&lt;&gt;0,+H22-M22,0)</f>
        <v>0</v>
      </c>
      <c r="O22" s="505">
        <f>+N22-L22</f>
        <v>0</v>
      </c>
      <c r="P22" s="279"/>
      <c r="R22" s="244"/>
      <c r="S22" s="244"/>
      <c r="T22" s="244"/>
      <c r="U22" s="244"/>
    </row>
    <row r="23" spans="2:21" ht="12.5">
      <c r="B23" s="145" t="str">
        <f t="shared" si="0"/>
        <v/>
      </c>
      <c r="C23" s="496">
        <f>IF(D11="","-",+C22+1)</f>
        <v>2019</v>
      </c>
      <c r="D23" s="506">
        <v>25988082.193231646</v>
      </c>
      <c r="E23" s="499">
        <v>857562.89168410667</v>
      </c>
      <c r="F23" s="506">
        <v>25130519.301547538</v>
      </c>
      <c r="G23" s="499">
        <v>3514093.467191291</v>
      </c>
      <c r="H23" s="500">
        <v>3514093.467191291</v>
      </c>
      <c r="I23" s="501">
        <f t="shared" si="7"/>
        <v>0</v>
      </c>
      <c r="J23" s="501"/>
      <c r="K23" s="507">
        <f t="shared" ref="K23" si="8">G23</f>
        <v>3514093.467191291</v>
      </c>
      <c r="L23" s="508">
        <f t="shared" si="6"/>
        <v>0</v>
      </c>
      <c r="M23" s="507">
        <f t="shared" ref="M23" si="9">H23</f>
        <v>3514093.467191291</v>
      </c>
      <c r="N23" s="505">
        <f>IF(M23&lt;&gt;0,+H23-M23,0)</f>
        <v>0</v>
      </c>
      <c r="O23" s="505">
        <f>+N23-L23</f>
        <v>0</v>
      </c>
      <c r="P23" s="279"/>
      <c r="R23" s="244"/>
      <c r="S23" s="244"/>
      <c r="T23" s="244"/>
      <c r="U23" s="244"/>
    </row>
    <row r="24" spans="2:21" ht="12.5">
      <c r="B24" s="145" t="str">
        <f t="shared" si="0"/>
        <v>IU</v>
      </c>
      <c r="C24" s="496">
        <f>IF(D11="","-",+C23+1)</f>
        <v>2020</v>
      </c>
      <c r="D24" s="506">
        <v>25278972.649700511</v>
      </c>
      <c r="E24" s="499">
        <v>846660.3033934671</v>
      </c>
      <c r="F24" s="506">
        <v>24432312.346307043</v>
      </c>
      <c r="G24" s="499">
        <v>3454824.1726137344</v>
      </c>
      <c r="H24" s="500">
        <v>3454824.1726137344</v>
      </c>
      <c r="I24" s="501">
        <f t="shared" si="7"/>
        <v>0</v>
      </c>
      <c r="J24" s="501"/>
      <c r="K24" s="507">
        <f t="shared" ref="K24" si="10">G24</f>
        <v>3454824.1726137344</v>
      </c>
      <c r="L24" s="508">
        <f t="shared" ref="L24" si="11">IF(K24&lt;&gt;0,+G24-K24,0)</f>
        <v>0</v>
      </c>
      <c r="M24" s="507">
        <f t="shared" ref="M24" si="12">H24</f>
        <v>3454824.1726137344</v>
      </c>
      <c r="N24" s="505">
        <f t="shared" si="4"/>
        <v>0</v>
      </c>
      <c r="O24" s="505">
        <f t="shared" si="5"/>
        <v>0</v>
      </c>
      <c r="P24" s="279"/>
      <c r="R24" s="244"/>
      <c r="S24" s="244"/>
      <c r="T24" s="244"/>
      <c r="U24" s="244"/>
    </row>
    <row r="25" spans="2:21" ht="12.5">
      <c r="B25" s="145" t="str">
        <f t="shared" si="0"/>
        <v>IU</v>
      </c>
      <c r="C25" s="496">
        <f>IF(D11="","-",+C24+1)</f>
        <v>2021</v>
      </c>
      <c r="D25" s="506">
        <v>24283858.99815407</v>
      </c>
      <c r="E25" s="499">
        <v>932717.2819354838</v>
      </c>
      <c r="F25" s="506">
        <v>23351141.716218587</v>
      </c>
      <c r="G25" s="499">
        <v>3509415.1582725761</v>
      </c>
      <c r="H25" s="500">
        <v>3509415.1582725761</v>
      </c>
      <c r="I25" s="501">
        <f t="shared" si="7"/>
        <v>0</v>
      </c>
      <c r="J25" s="501"/>
      <c r="K25" s="507">
        <f t="shared" ref="K25" si="13">G25</f>
        <v>3509415.1582725761</v>
      </c>
      <c r="L25" s="508">
        <f t="shared" ref="L25" si="14">IF(K25&lt;&gt;0,+G25-K25,0)</f>
        <v>0</v>
      </c>
      <c r="M25" s="507">
        <f t="shared" ref="M25" si="15">H25</f>
        <v>3509415.1582725761</v>
      </c>
      <c r="N25" s="505">
        <f t="shared" si="4"/>
        <v>0</v>
      </c>
      <c r="O25" s="505">
        <f t="shared" si="5"/>
        <v>0</v>
      </c>
      <c r="P25" s="279"/>
      <c r="R25" s="244"/>
      <c r="S25" s="244"/>
      <c r="T25" s="244"/>
      <c r="U25" s="244"/>
    </row>
    <row r="26" spans="2:21" ht="12.5">
      <c r="B26" s="145" t="str">
        <f t="shared" si="0"/>
        <v/>
      </c>
      <c r="C26" s="496">
        <f>IF(D11="","-",+C25+1)</f>
        <v>2022</v>
      </c>
      <c r="D26" s="506">
        <v>23351141.716218587</v>
      </c>
      <c r="E26" s="499">
        <v>876188.96181818179</v>
      </c>
      <c r="F26" s="506">
        <v>22474952.754400406</v>
      </c>
      <c r="G26" s="499">
        <v>3505662.168801737</v>
      </c>
      <c r="H26" s="500">
        <v>3505662.168801737</v>
      </c>
      <c r="I26" s="501">
        <f t="shared" si="7"/>
        <v>0</v>
      </c>
      <c r="J26" s="501"/>
      <c r="K26" s="507">
        <f t="shared" ref="K26" si="16">G26</f>
        <v>3505662.168801737</v>
      </c>
      <c r="L26" s="508">
        <f t="shared" ref="L26" si="17">IF(K26&lt;&gt;0,+G26-K26,0)</f>
        <v>0</v>
      </c>
      <c r="M26" s="507">
        <f t="shared" ref="M26" si="18">H26</f>
        <v>3505662.168801737</v>
      </c>
      <c r="N26" s="505">
        <f t="shared" si="4"/>
        <v>0</v>
      </c>
      <c r="O26" s="505">
        <f t="shared" si="5"/>
        <v>0</v>
      </c>
      <c r="P26" s="279"/>
      <c r="R26" s="244"/>
      <c r="S26" s="244"/>
      <c r="T26" s="244"/>
      <c r="U26" s="244"/>
    </row>
    <row r="27" spans="2:21" ht="12.5">
      <c r="B27" s="145" t="str">
        <f t="shared" si="0"/>
        <v>IU</v>
      </c>
      <c r="C27" s="496">
        <f>IF(D11="","-",+C26+1)</f>
        <v>2023</v>
      </c>
      <c r="D27" s="506">
        <v>22474953.014400404</v>
      </c>
      <c r="E27" s="499">
        <v>932717.29032258061</v>
      </c>
      <c r="F27" s="506">
        <v>21542235.724077825</v>
      </c>
      <c r="G27" s="499">
        <v>3420411.5472094538</v>
      </c>
      <c r="H27" s="500">
        <v>3420411.5472094538</v>
      </c>
      <c r="I27" s="501">
        <f t="shared" si="7"/>
        <v>0</v>
      </c>
      <c r="J27" s="501"/>
      <c r="K27" s="507">
        <f t="shared" ref="K27" si="19">G27</f>
        <v>3420411.5472094538</v>
      </c>
      <c r="L27" s="508">
        <f t="shared" ref="L27" si="20">IF(K27&lt;&gt;0,+G27-K27,0)</f>
        <v>0</v>
      </c>
      <c r="M27" s="507">
        <f t="shared" ref="M27" si="21">H27</f>
        <v>3420411.5472094538</v>
      </c>
      <c r="N27" s="505">
        <f t="shared" si="4"/>
        <v>0</v>
      </c>
      <c r="O27" s="505">
        <f t="shared" si="5"/>
        <v>0</v>
      </c>
      <c r="P27" s="279"/>
      <c r="R27" s="244"/>
      <c r="S27" s="244"/>
      <c r="T27" s="244"/>
      <c r="U27" s="244"/>
    </row>
    <row r="28" spans="2:21" ht="12.5">
      <c r="B28" s="145" t="str">
        <f t="shared" si="0"/>
        <v/>
      </c>
      <c r="C28" s="496">
        <f>IF(D11="","-",+C27+1)</f>
        <v>2024</v>
      </c>
      <c r="D28" s="509">
        <f>IF(F27+SUM(E$17:E27)=D$10,F27,D$10-SUM(E$17:E27))</f>
        <v>21542235.724077825</v>
      </c>
      <c r="E28" s="510">
        <f>IF(+I14&lt;F27,I14,D28)</f>
        <v>876188.96969696973</v>
      </c>
      <c r="F28" s="511">
        <f t="shared" ref="F28:F49" si="22">+D28-E28</f>
        <v>20666046.754380856</v>
      </c>
      <c r="G28" s="512">
        <f t="shared" ref="G28:G73" si="23">(D28+F28)/2*I$12+E28</f>
        <v>3298074.3424742194</v>
      </c>
      <c r="H28" s="478">
        <f t="shared" ref="H28:H73" si="24">+(D28+F28)/2*I$13+E28</f>
        <v>3298074.3424742194</v>
      </c>
      <c r="I28" s="501">
        <f t="shared" si="7"/>
        <v>0</v>
      </c>
      <c r="J28" s="501"/>
      <c r="K28" s="513"/>
      <c r="L28" s="505">
        <f t="shared" si="2"/>
        <v>0</v>
      </c>
      <c r="M28" s="513"/>
      <c r="N28" s="505">
        <f t="shared" si="4"/>
        <v>0</v>
      </c>
      <c r="O28" s="505">
        <f t="shared" si="5"/>
        <v>0</v>
      </c>
      <c r="P28" s="279"/>
      <c r="R28" s="244"/>
      <c r="S28" s="244"/>
      <c r="T28" s="244"/>
      <c r="U28" s="244"/>
    </row>
    <row r="29" spans="2:21" ht="12.5">
      <c r="B29" s="145" t="str">
        <f t="shared" si="0"/>
        <v/>
      </c>
      <c r="C29" s="496">
        <f>IF(D11="","-",+C28+1)</f>
        <v>2025</v>
      </c>
      <c r="D29" s="509">
        <f>IF(F28+SUM(E$17:E28)=D$10,F28,D$10-SUM(E$17:E28))</f>
        <v>20666046.754380856</v>
      </c>
      <c r="E29" s="510">
        <f>IF(+I14&lt;F28,I14,D29)</f>
        <v>876188.96969696973</v>
      </c>
      <c r="F29" s="511">
        <f t="shared" si="22"/>
        <v>19789857.784683887</v>
      </c>
      <c r="G29" s="512">
        <f t="shared" si="23"/>
        <v>3197523.9706091308</v>
      </c>
      <c r="H29" s="478">
        <f t="shared" si="24"/>
        <v>3197523.9706091308</v>
      </c>
      <c r="I29" s="501">
        <f t="shared" si="7"/>
        <v>0</v>
      </c>
      <c r="J29" s="501"/>
      <c r="K29" s="513"/>
      <c r="L29" s="505">
        <f t="shared" si="2"/>
        <v>0</v>
      </c>
      <c r="M29" s="513"/>
      <c r="N29" s="505">
        <f t="shared" si="4"/>
        <v>0</v>
      </c>
      <c r="O29" s="505">
        <f t="shared" si="5"/>
        <v>0</v>
      </c>
      <c r="P29" s="279"/>
      <c r="R29" s="244"/>
      <c r="S29" s="244"/>
      <c r="T29" s="244"/>
      <c r="U29" s="244"/>
    </row>
    <row r="30" spans="2:21" ht="12.5">
      <c r="B30" s="145" t="str">
        <f t="shared" si="0"/>
        <v/>
      </c>
      <c r="C30" s="496">
        <f>IF(D11="","-",+C29+1)</f>
        <v>2026</v>
      </c>
      <c r="D30" s="509">
        <f>IF(F29+SUM(E$17:E29)=D$10,F29,D$10-SUM(E$17:E29))</f>
        <v>19789857.784683887</v>
      </c>
      <c r="E30" s="510">
        <f>IF(+I14&lt;F29,I14,D30)</f>
        <v>876188.96969696973</v>
      </c>
      <c r="F30" s="511">
        <f t="shared" si="22"/>
        <v>18913668.814986918</v>
      </c>
      <c r="G30" s="512">
        <f t="shared" si="23"/>
        <v>3096973.5987440427</v>
      </c>
      <c r="H30" s="478">
        <f t="shared" si="24"/>
        <v>3096973.5987440427</v>
      </c>
      <c r="I30" s="501">
        <f t="shared" si="7"/>
        <v>0</v>
      </c>
      <c r="J30" s="501"/>
      <c r="K30" s="513"/>
      <c r="L30" s="505">
        <f t="shared" si="2"/>
        <v>0</v>
      </c>
      <c r="M30" s="513"/>
      <c r="N30" s="505">
        <f t="shared" si="4"/>
        <v>0</v>
      </c>
      <c r="O30" s="505">
        <f t="shared" si="5"/>
        <v>0</v>
      </c>
      <c r="P30" s="279"/>
      <c r="R30" s="244"/>
      <c r="S30" s="244"/>
      <c r="T30" s="244"/>
      <c r="U30" s="244"/>
    </row>
    <row r="31" spans="2:21" ht="12.5">
      <c r="B31" s="145" t="str">
        <f t="shared" si="0"/>
        <v/>
      </c>
      <c r="C31" s="496">
        <f>IF(D11="","-",+C30+1)</f>
        <v>2027</v>
      </c>
      <c r="D31" s="509">
        <f>IF(F30+SUM(E$17:E30)=D$10,F30,D$10-SUM(E$17:E30))</f>
        <v>18913668.814986918</v>
      </c>
      <c r="E31" s="510">
        <f>IF(+I14&lt;F30,I14,D31)</f>
        <v>876188.96969696973</v>
      </c>
      <c r="F31" s="511">
        <f t="shared" si="22"/>
        <v>18037479.845289949</v>
      </c>
      <c r="G31" s="512">
        <f t="shared" si="23"/>
        <v>2996423.2268789541</v>
      </c>
      <c r="H31" s="478">
        <f t="shared" si="24"/>
        <v>2996423.2268789541</v>
      </c>
      <c r="I31" s="501">
        <f t="shared" si="7"/>
        <v>0</v>
      </c>
      <c r="J31" s="501"/>
      <c r="K31" s="513"/>
      <c r="L31" s="505">
        <f t="shared" si="2"/>
        <v>0</v>
      </c>
      <c r="M31" s="513"/>
      <c r="N31" s="505">
        <f t="shared" si="4"/>
        <v>0</v>
      </c>
      <c r="O31" s="505">
        <f t="shared" si="5"/>
        <v>0</v>
      </c>
      <c r="P31" s="279"/>
      <c r="Q31" s="221"/>
      <c r="R31" s="279"/>
      <c r="S31" s="279"/>
      <c r="T31" s="279"/>
      <c r="U31" s="244"/>
    </row>
    <row r="32" spans="2:21" ht="12.5">
      <c r="B32" s="145" t="str">
        <f t="shared" si="0"/>
        <v/>
      </c>
      <c r="C32" s="496">
        <f>IF(D12="","-",+C31+1)</f>
        <v>2028</v>
      </c>
      <c r="D32" s="509">
        <f>IF(F31+SUM(E$17:E31)=D$10,F31,D$10-SUM(E$17:E31))</f>
        <v>18037479.845289949</v>
      </c>
      <c r="E32" s="510">
        <f>IF(+I14&lt;F31,I14,D32)</f>
        <v>876188.96969696973</v>
      </c>
      <c r="F32" s="511">
        <f>+D32-E32</f>
        <v>17161290.875592981</v>
      </c>
      <c r="G32" s="512">
        <f t="shared" si="23"/>
        <v>2895872.855013866</v>
      </c>
      <c r="H32" s="478">
        <f t="shared" si="24"/>
        <v>2895872.855013866</v>
      </c>
      <c r="I32" s="501">
        <f>H32-G32</f>
        <v>0</v>
      </c>
      <c r="J32" s="501"/>
      <c r="K32" s="513"/>
      <c r="L32" s="505">
        <f>IF(K32&lt;&gt;0,+G32-K32,0)</f>
        <v>0</v>
      </c>
      <c r="M32" s="513"/>
      <c r="N32" s="505">
        <f>IF(M32&lt;&gt;0,+H32-M32,0)</f>
        <v>0</v>
      </c>
      <c r="O32" s="505">
        <f>+N32-L32</f>
        <v>0</v>
      </c>
      <c r="P32" s="279"/>
      <c r="Q32" s="221"/>
      <c r="R32" s="279"/>
      <c r="S32" s="279"/>
      <c r="T32" s="279"/>
      <c r="U32" s="244"/>
    </row>
    <row r="33" spans="2:21" ht="12.5">
      <c r="B33" s="145" t="str">
        <f t="shared" si="0"/>
        <v/>
      </c>
      <c r="C33" s="496">
        <f>IF(D13="","-",+C32+1)</f>
        <v>2029</v>
      </c>
      <c r="D33" s="509">
        <f>IF(F32+SUM(E$17:E32)=D$10,F32,D$10-SUM(E$17:E32))</f>
        <v>17161290.875592981</v>
      </c>
      <c r="E33" s="510">
        <f>IF(+I14&lt;F31,I14,D33)</f>
        <v>876188.96969696973</v>
      </c>
      <c r="F33" s="511">
        <f t="shared" si="22"/>
        <v>16285101.905896012</v>
      </c>
      <c r="G33" s="512">
        <f t="shared" si="23"/>
        <v>2795322.4831487774</v>
      </c>
      <c r="H33" s="478">
        <f t="shared" si="24"/>
        <v>2795322.4831487774</v>
      </c>
      <c r="I33" s="501">
        <f t="shared" si="7"/>
        <v>0</v>
      </c>
      <c r="J33" s="501"/>
      <c r="K33" s="513"/>
      <c r="L33" s="505">
        <f t="shared" si="2"/>
        <v>0</v>
      </c>
      <c r="M33" s="513"/>
      <c r="N33" s="505">
        <f t="shared" si="4"/>
        <v>0</v>
      </c>
      <c r="O33" s="505">
        <f t="shared" si="5"/>
        <v>0</v>
      </c>
      <c r="P33" s="279"/>
      <c r="R33" s="244"/>
      <c r="S33" s="244"/>
      <c r="T33" s="244"/>
      <c r="U33" s="244"/>
    </row>
    <row r="34" spans="2:21" ht="12.5">
      <c r="B34" s="145" t="str">
        <f t="shared" si="0"/>
        <v/>
      </c>
      <c r="C34" s="514">
        <f>IF(D11="","-",+C33+1)</f>
        <v>2030</v>
      </c>
      <c r="D34" s="515">
        <f>IF(F33+SUM(E$17:E33)=D$10,F33,D$10-SUM(E$17:E33))</f>
        <v>16285101.905896012</v>
      </c>
      <c r="E34" s="516">
        <f>IF(+I14&lt;F33,I14,D34)</f>
        <v>876188.96969696973</v>
      </c>
      <c r="F34" s="517">
        <f t="shared" si="22"/>
        <v>15408912.936199043</v>
      </c>
      <c r="G34" s="518">
        <f t="shared" si="23"/>
        <v>2694772.1112836888</v>
      </c>
      <c r="H34" s="519">
        <f t="shared" si="24"/>
        <v>2694772.1112836888</v>
      </c>
      <c r="I34" s="520">
        <f t="shared" si="7"/>
        <v>0</v>
      </c>
      <c r="J34" s="520"/>
      <c r="K34" s="521"/>
      <c r="L34" s="522">
        <f t="shared" si="2"/>
        <v>0</v>
      </c>
      <c r="M34" s="521"/>
      <c r="N34" s="522">
        <f t="shared" si="4"/>
        <v>0</v>
      </c>
      <c r="O34" s="522">
        <f t="shared" si="5"/>
        <v>0</v>
      </c>
      <c r="P34" s="523"/>
      <c r="Q34" s="217"/>
      <c r="R34" s="523"/>
      <c r="S34" s="523"/>
      <c r="T34" s="523"/>
      <c r="U34" s="244"/>
    </row>
    <row r="35" spans="2:21" ht="12.5">
      <c r="B35" s="145" t="str">
        <f t="shared" si="0"/>
        <v/>
      </c>
      <c r="C35" s="496">
        <f>IF(D11="","-",+C34+1)</f>
        <v>2031</v>
      </c>
      <c r="D35" s="509">
        <f>IF(F34+SUM(E$17:E34)=D$10,F34,D$10-SUM(E$17:E34))</f>
        <v>15408912.936199043</v>
      </c>
      <c r="E35" s="510">
        <f>IF(+I14&lt;F34,I14,D35)</f>
        <v>876188.96969696973</v>
      </c>
      <c r="F35" s="511">
        <f t="shared" si="22"/>
        <v>14532723.966502074</v>
      </c>
      <c r="G35" s="512">
        <f t="shared" si="23"/>
        <v>2594221.7394186007</v>
      </c>
      <c r="H35" s="478">
        <f t="shared" si="24"/>
        <v>2594221.7394186007</v>
      </c>
      <c r="I35" s="501">
        <f t="shared" si="7"/>
        <v>0</v>
      </c>
      <c r="J35" s="501"/>
      <c r="K35" s="513"/>
      <c r="L35" s="505">
        <f t="shared" si="2"/>
        <v>0</v>
      </c>
      <c r="M35" s="513"/>
      <c r="N35" s="505">
        <f t="shared" si="4"/>
        <v>0</v>
      </c>
      <c r="O35" s="505">
        <f t="shared" si="5"/>
        <v>0</v>
      </c>
      <c r="P35" s="279"/>
      <c r="R35" s="244"/>
      <c r="S35" s="244"/>
      <c r="T35" s="244"/>
      <c r="U35" s="244"/>
    </row>
    <row r="36" spans="2:21" ht="12.5">
      <c r="B36" s="145" t="str">
        <f t="shared" si="0"/>
        <v/>
      </c>
      <c r="C36" s="496">
        <f>IF(D11="","-",+C35+1)</f>
        <v>2032</v>
      </c>
      <c r="D36" s="509">
        <f>IF(F35+SUM(E$17:E35)=D$10,F35,D$10-SUM(E$17:E35))</f>
        <v>14532723.966502074</v>
      </c>
      <c r="E36" s="510">
        <f>IF(+I14&lt;F35,I14,D36)</f>
        <v>876188.96969696973</v>
      </c>
      <c r="F36" s="511">
        <f t="shared" si="22"/>
        <v>13656534.996805105</v>
      </c>
      <c r="G36" s="512">
        <f t="shared" si="23"/>
        <v>2493671.3675535126</v>
      </c>
      <c r="H36" s="478">
        <f t="shared" si="24"/>
        <v>2493671.3675535126</v>
      </c>
      <c r="I36" s="501">
        <f t="shared" si="7"/>
        <v>0</v>
      </c>
      <c r="J36" s="501"/>
      <c r="K36" s="513"/>
      <c r="L36" s="505">
        <f t="shared" si="2"/>
        <v>0</v>
      </c>
      <c r="M36" s="513"/>
      <c r="N36" s="505">
        <f t="shared" si="4"/>
        <v>0</v>
      </c>
      <c r="O36" s="505">
        <f t="shared" si="5"/>
        <v>0</v>
      </c>
      <c r="P36" s="279"/>
      <c r="R36" s="244"/>
      <c r="S36" s="244"/>
      <c r="T36" s="244"/>
      <c r="U36" s="244"/>
    </row>
    <row r="37" spans="2:21" ht="12.5">
      <c r="B37" s="145" t="str">
        <f t="shared" si="0"/>
        <v/>
      </c>
      <c r="C37" s="496">
        <f>IF(D11="","-",+C36+1)</f>
        <v>2033</v>
      </c>
      <c r="D37" s="509">
        <f>IF(F36+SUM(E$17:E36)=D$10,F36,D$10-SUM(E$17:E36))</f>
        <v>13656534.996805105</v>
      </c>
      <c r="E37" s="510">
        <f>IF(+I14&lt;F36,I14,D37)</f>
        <v>876188.96969696973</v>
      </c>
      <c r="F37" s="511">
        <f t="shared" si="22"/>
        <v>12780346.027108137</v>
      </c>
      <c r="G37" s="512">
        <f t="shared" si="23"/>
        <v>2393120.9956884235</v>
      </c>
      <c r="H37" s="478">
        <f t="shared" si="24"/>
        <v>2393120.9956884235</v>
      </c>
      <c r="I37" s="501">
        <f t="shared" si="7"/>
        <v>0</v>
      </c>
      <c r="J37" s="501"/>
      <c r="K37" s="513"/>
      <c r="L37" s="505">
        <f t="shared" si="2"/>
        <v>0</v>
      </c>
      <c r="M37" s="513"/>
      <c r="N37" s="505">
        <f t="shared" si="4"/>
        <v>0</v>
      </c>
      <c r="O37" s="505">
        <f t="shared" si="5"/>
        <v>0</v>
      </c>
      <c r="P37" s="279"/>
      <c r="R37" s="244"/>
      <c r="S37" s="244"/>
      <c r="T37" s="244"/>
      <c r="U37" s="244"/>
    </row>
    <row r="38" spans="2:21" ht="12.5">
      <c r="B38" s="145" t="str">
        <f t="shared" si="0"/>
        <v/>
      </c>
      <c r="C38" s="496">
        <f>IF(D11="","-",+C37+1)</f>
        <v>2034</v>
      </c>
      <c r="D38" s="509">
        <f>IF(F37+SUM(E$17:E37)=D$10,F37,D$10-SUM(E$17:E37))</f>
        <v>12780346.027108137</v>
      </c>
      <c r="E38" s="510">
        <f>IF(+I14&lt;F37,I14,D38)</f>
        <v>876188.96969696973</v>
      </c>
      <c r="F38" s="511">
        <f t="shared" si="22"/>
        <v>11904157.057411168</v>
      </c>
      <c r="G38" s="512">
        <f t="shared" si="23"/>
        <v>2292570.6238233354</v>
      </c>
      <c r="H38" s="478">
        <f t="shared" si="24"/>
        <v>2292570.6238233354</v>
      </c>
      <c r="I38" s="501">
        <f t="shared" si="7"/>
        <v>0</v>
      </c>
      <c r="J38" s="501"/>
      <c r="K38" s="513"/>
      <c r="L38" s="505">
        <f t="shared" si="2"/>
        <v>0</v>
      </c>
      <c r="M38" s="513"/>
      <c r="N38" s="505">
        <f t="shared" si="4"/>
        <v>0</v>
      </c>
      <c r="O38" s="505">
        <f t="shared" si="5"/>
        <v>0</v>
      </c>
      <c r="P38" s="279"/>
      <c r="R38" s="244"/>
      <c r="S38" s="244"/>
      <c r="T38" s="244"/>
      <c r="U38" s="244"/>
    </row>
    <row r="39" spans="2:21" ht="12.5">
      <c r="B39" s="145" t="str">
        <f t="shared" si="0"/>
        <v/>
      </c>
      <c r="C39" s="496">
        <f>IF(D11="","-",+C38+1)</f>
        <v>2035</v>
      </c>
      <c r="D39" s="509">
        <f>IF(F38+SUM(E$17:E38)=D$10,F38,D$10-SUM(E$17:E38))</f>
        <v>11904157.057411168</v>
      </c>
      <c r="E39" s="510">
        <f>IF(+I14&lt;F38,I14,D39)</f>
        <v>876188.96969696973</v>
      </c>
      <c r="F39" s="511">
        <f t="shared" si="22"/>
        <v>11027968.087714199</v>
      </c>
      <c r="G39" s="512">
        <f t="shared" si="23"/>
        <v>2192020.2519582473</v>
      </c>
      <c r="H39" s="478">
        <f t="shared" si="24"/>
        <v>2192020.2519582473</v>
      </c>
      <c r="I39" s="501">
        <f t="shared" si="7"/>
        <v>0</v>
      </c>
      <c r="J39" s="501"/>
      <c r="K39" s="513"/>
      <c r="L39" s="505">
        <f t="shared" si="2"/>
        <v>0</v>
      </c>
      <c r="M39" s="513"/>
      <c r="N39" s="505">
        <f t="shared" si="4"/>
        <v>0</v>
      </c>
      <c r="O39" s="505">
        <f t="shared" si="5"/>
        <v>0</v>
      </c>
      <c r="P39" s="279"/>
      <c r="R39" s="244"/>
      <c r="S39" s="244"/>
      <c r="T39" s="244"/>
      <c r="U39" s="244"/>
    </row>
    <row r="40" spans="2:21" ht="12.5">
      <c r="B40" s="145" t="str">
        <f t="shared" si="0"/>
        <v/>
      </c>
      <c r="C40" s="496">
        <f>IF(D11="","-",+C39+1)</f>
        <v>2036</v>
      </c>
      <c r="D40" s="509">
        <f>IF(F39+SUM(E$17:E39)=D$10,F39,D$10-SUM(E$17:E39))</f>
        <v>11027968.087714199</v>
      </c>
      <c r="E40" s="510">
        <f>IF(+I14&lt;F39,I14,D40)</f>
        <v>876188.96969696973</v>
      </c>
      <c r="F40" s="511">
        <f t="shared" si="22"/>
        <v>10151779.11801723</v>
      </c>
      <c r="G40" s="512">
        <f t="shared" si="23"/>
        <v>2091469.8800931587</v>
      </c>
      <c r="H40" s="478">
        <f t="shared" si="24"/>
        <v>2091469.8800931587</v>
      </c>
      <c r="I40" s="501">
        <f t="shared" si="7"/>
        <v>0</v>
      </c>
      <c r="J40" s="501"/>
      <c r="K40" s="513"/>
      <c r="L40" s="505">
        <f t="shared" si="2"/>
        <v>0</v>
      </c>
      <c r="M40" s="513"/>
      <c r="N40" s="505">
        <f t="shared" si="4"/>
        <v>0</v>
      </c>
      <c r="O40" s="505">
        <f t="shared" si="5"/>
        <v>0</v>
      </c>
      <c r="P40" s="279"/>
      <c r="R40" s="244"/>
      <c r="S40" s="244"/>
      <c r="T40" s="244"/>
      <c r="U40" s="244"/>
    </row>
    <row r="41" spans="2:21" ht="12.5">
      <c r="B41" s="145" t="str">
        <f t="shared" si="0"/>
        <v/>
      </c>
      <c r="C41" s="496">
        <f>IF(D12="","-",+C40+1)</f>
        <v>2037</v>
      </c>
      <c r="D41" s="509">
        <f>IF(F40+SUM(E$17:E40)=D$10,F40,D$10-SUM(E$17:E40))</f>
        <v>10151779.11801723</v>
      </c>
      <c r="E41" s="510">
        <f>IF(+I14&lt;F40,I14,D41)</f>
        <v>876188.96969696973</v>
      </c>
      <c r="F41" s="511">
        <f t="shared" si="22"/>
        <v>9275590.1483202614</v>
      </c>
      <c r="G41" s="512">
        <f t="shared" si="23"/>
        <v>1990919.5082280703</v>
      </c>
      <c r="H41" s="478">
        <f t="shared" si="24"/>
        <v>1990919.5082280703</v>
      </c>
      <c r="I41" s="501">
        <f t="shared" si="7"/>
        <v>0</v>
      </c>
      <c r="J41" s="501"/>
      <c r="K41" s="513"/>
      <c r="L41" s="505">
        <f t="shared" si="2"/>
        <v>0</v>
      </c>
      <c r="M41" s="513"/>
      <c r="N41" s="505">
        <f t="shared" si="4"/>
        <v>0</v>
      </c>
      <c r="O41" s="505">
        <f t="shared" si="5"/>
        <v>0</v>
      </c>
      <c r="P41" s="279"/>
      <c r="R41" s="244"/>
      <c r="S41" s="244"/>
      <c r="T41" s="244"/>
      <c r="U41" s="244"/>
    </row>
    <row r="42" spans="2:21" ht="12.5">
      <c r="B42" s="145" t="str">
        <f t="shared" si="0"/>
        <v/>
      </c>
      <c r="C42" s="496">
        <f>IF(D13="","-",+C41+1)</f>
        <v>2038</v>
      </c>
      <c r="D42" s="509">
        <f>IF(F41+SUM(E$17:E41)=D$10,F41,D$10-SUM(E$17:E41))</f>
        <v>9275590.1483202614</v>
      </c>
      <c r="E42" s="510">
        <f>IF(+I14&lt;F41,I14,D42)</f>
        <v>876188.96969696973</v>
      </c>
      <c r="F42" s="511">
        <f t="shared" si="22"/>
        <v>8399401.1786232926</v>
      </c>
      <c r="G42" s="512">
        <f t="shared" si="23"/>
        <v>1890369.136362982</v>
      </c>
      <c r="H42" s="478">
        <f t="shared" si="24"/>
        <v>1890369.136362982</v>
      </c>
      <c r="I42" s="501">
        <f t="shared" si="7"/>
        <v>0</v>
      </c>
      <c r="J42" s="501"/>
      <c r="K42" s="513"/>
      <c r="L42" s="505">
        <f t="shared" si="2"/>
        <v>0</v>
      </c>
      <c r="M42" s="513"/>
      <c r="N42" s="505">
        <f t="shared" si="4"/>
        <v>0</v>
      </c>
      <c r="O42" s="505">
        <f t="shared" si="5"/>
        <v>0</v>
      </c>
      <c r="P42" s="279"/>
      <c r="R42" s="244"/>
      <c r="S42" s="244"/>
      <c r="T42" s="244"/>
      <c r="U42" s="244"/>
    </row>
    <row r="43" spans="2:21" ht="12.5">
      <c r="B43" s="145" t="str">
        <f t="shared" si="0"/>
        <v/>
      </c>
      <c r="C43" s="496">
        <f>IF(D11="","-",+C42+1)</f>
        <v>2039</v>
      </c>
      <c r="D43" s="509">
        <f>IF(F42+SUM(E$17:E42)=D$10,F42,D$10-SUM(E$17:E42))</f>
        <v>8399401.1786232926</v>
      </c>
      <c r="E43" s="510">
        <f>IF(+I14&lt;F42,I14,D43)</f>
        <v>876188.96969696973</v>
      </c>
      <c r="F43" s="511">
        <f t="shared" si="22"/>
        <v>7523212.2089263229</v>
      </c>
      <c r="G43" s="512">
        <f t="shared" si="23"/>
        <v>1789818.7644978934</v>
      </c>
      <c r="H43" s="478">
        <f t="shared" si="24"/>
        <v>1789818.7644978934</v>
      </c>
      <c r="I43" s="501">
        <f t="shared" si="7"/>
        <v>0</v>
      </c>
      <c r="J43" s="501"/>
      <c r="K43" s="513"/>
      <c r="L43" s="505">
        <f t="shared" si="2"/>
        <v>0</v>
      </c>
      <c r="M43" s="513"/>
      <c r="N43" s="505">
        <f t="shared" si="4"/>
        <v>0</v>
      </c>
      <c r="O43" s="505">
        <f t="shared" si="5"/>
        <v>0</v>
      </c>
      <c r="P43" s="279"/>
      <c r="R43" s="244"/>
      <c r="S43" s="244"/>
      <c r="T43" s="244"/>
      <c r="U43" s="244"/>
    </row>
    <row r="44" spans="2:21" ht="12.5">
      <c r="B44" s="145" t="str">
        <f t="shared" si="0"/>
        <v/>
      </c>
      <c r="C44" s="496">
        <f>IF(D11="","-",+C43+1)</f>
        <v>2040</v>
      </c>
      <c r="D44" s="509">
        <f>IF(F43+SUM(E$17:E43)=D$10,F43,D$10-SUM(E$17:E43))</f>
        <v>7523212.2089263229</v>
      </c>
      <c r="E44" s="510">
        <f>IF(+I14&lt;F43,I14,D44)</f>
        <v>876188.96969696973</v>
      </c>
      <c r="F44" s="511">
        <f t="shared" si="22"/>
        <v>6647023.2392293531</v>
      </c>
      <c r="G44" s="512">
        <f t="shared" si="23"/>
        <v>1689268.3926328048</v>
      </c>
      <c r="H44" s="478">
        <f t="shared" si="24"/>
        <v>1689268.3926328048</v>
      </c>
      <c r="I44" s="501">
        <f t="shared" si="7"/>
        <v>0</v>
      </c>
      <c r="J44" s="501"/>
      <c r="K44" s="513"/>
      <c r="L44" s="505">
        <f t="shared" si="2"/>
        <v>0</v>
      </c>
      <c r="M44" s="513"/>
      <c r="N44" s="505">
        <f t="shared" si="4"/>
        <v>0</v>
      </c>
      <c r="O44" s="505">
        <f t="shared" si="5"/>
        <v>0</v>
      </c>
      <c r="P44" s="279"/>
      <c r="R44" s="244"/>
      <c r="S44" s="244"/>
      <c r="T44" s="244"/>
      <c r="U44" s="244"/>
    </row>
    <row r="45" spans="2:21" ht="12.5">
      <c r="B45" s="145" t="str">
        <f t="shared" si="0"/>
        <v/>
      </c>
      <c r="C45" s="496">
        <f>IF(D11="","-",+C44+1)</f>
        <v>2041</v>
      </c>
      <c r="D45" s="509">
        <f>IF(F44+SUM(E$17:E44)=D$10,F44,D$10-SUM(E$17:E44))</f>
        <v>6647023.2392293531</v>
      </c>
      <c r="E45" s="510">
        <f>IF(+I14&lt;F44,I14,D45)</f>
        <v>876188.96969696973</v>
      </c>
      <c r="F45" s="511">
        <f t="shared" si="22"/>
        <v>5770834.2695323834</v>
      </c>
      <c r="G45" s="512">
        <f t="shared" si="23"/>
        <v>1588718.0207677165</v>
      </c>
      <c r="H45" s="478">
        <f t="shared" si="24"/>
        <v>1588718.0207677165</v>
      </c>
      <c r="I45" s="501">
        <f t="shared" si="7"/>
        <v>0</v>
      </c>
      <c r="J45" s="501"/>
      <c r="K45" s="513"/>
      <c r="L45" s="505">
        <f t="shared" si="2"/>
        <v>0</v>
      </c>
      <c r="M45" s="513"/>
      <c r="N45" s="505">
        <f t="shared" si="4"/>
        <v>0</v>
      </c>
      <c r="O45" s="505">
        <f t="shared" si="5"/>
        <v>0</v>
      </c>
      <c r="P45" s="279"/>
      <c r="R45" s="244"/>
      <c r="S45" s="244"/>
      <c r="T45" s="244"/>
      <c r="U45" s="244"/>
    </row>
    <row r="46" spans="2:21" ht="12.5">
      <c r="B46" s="145" t="str">
        <f t="shared" si="0"/>
        <v/>
      </c>
      <c r="C46" s="496">
        <f>IF(D11="","-",+C45+1)</f>
        <v>2042</v>
      </c>
      <c r="D46" s="509">
        <f>IF(F45+SUM(E$17:E45)=D$10,F45,D$10-SUM(E$17:E45))</f>
        <v>5770834.2695323834</v>
      </c>
      <c r="E46" s="510">
        <f>IF(+I14&lt;F45,I14,D46)</f>
        <v>876188.96969696973</v>
      </c>
      <c r="F46" s="511">
        <f t="shared" si="22"/>
        <v>4894645.2998354137</v>
      </c>
      <c r="G46" s="512">
        <f t="shared" si="23"/>
        <v>1488167.6489026279</v>
      </c>
      <c r="H46" s="478">
        <f t="shared" si="24"/>
        <v>1488167.6489026279</v>
      </c>
      <c r="I46" s="501">
        <f t="shared" si="7"/>
        <v>0</v>
      </c>
      <c r="J46" s="501"/>
      <c r="K46" s="513"/>
      <c r="L46" s="505">
        <f t="shared" si="2"/>
        <v>0</v>
      </c>
      <c r="M46" s="513"/>
      <c r="N46" s="505">
        <f t="shared" si="4"/>
        <v>0</v>
      </c>
      <c r="O46" s="505">
        <f t="shared" si="5"/>
        <v>0</v>
      </c>
      <c r="P46" s="279"/>
      <c r="R46" s="244"/>
      <c r="S46" s="244"/>
      <c r="T46" s="244"/>
      <c r="U46" s="244"/>
    </row>
    <row r="47" spans="2:21" ht="12.5">
      <c r="B47" s="145" t="str">
        <f t="shared" si="0"/>
        <v/>
      </c>
      <c r="C47" s="496">
        <f>IF(D11="","-",+C46+1)</f>
        <v>2043</v>
      </c>
      <c r="D47" s="509">
        <f>IF(F46+SUM(E$17:E46)=D$10,F46,D$10-SUM(E$17:E46))</f>
        <v>4894645.2998354137</v>
      </c>
      <c r="E47" s="510">
        <f>IF(+I14&lt;F46,I14,D47)</f>
        <v>876188.96969696973</v>
      </c>
      <c r="F47" s="511">
        <f t="shared" si="22"/>
        <v>4018456.330138444</v>
      </c>
      <c r="G47" s="512">
        <f t="shared" si="23"/>
        <v>1387617.2770375395</v>
      </c>
      <c r="H47" s="478">
        <f t="shared" si="24"/>
        <v>1387617.2770375395</v>
      </c>
      <c r="I47" s="501">
        <f t="shared" si="7"/>
        <v>0</v>
      </c>
      <c r="J47" s="501"/>
      <c r="K47" s="513"/>
      <c r="L47" s="505">
        <f t="shared" si="2"/>
        <v>0</v>
      </c>
      <c r="M47" s="513"/>
      <c r="N47" s="505">
        <f t="shared" si="4"/>
        <v>0</v>
      </c>
      <c r="O47" s="505">
        <f t="shared" si="5"/>
        <v>0</v>
      </c>
      <c r="P47" s="279"/>
      <c r="R47" s="244"/>
      <c r="S47" s="244"/>
      <c r="T47" s="244"/>
      <c r="U47" s="244"/>
    </row>
    <row r="48" spans="2:21" ht="12.5">
      <c r="B48" s="145" t="str">
        <f t="shared" si="0"/>
        <v/>
      </c>
      <c r="C48" s="496">
        <f>IF(D11="","-",+C47+1)</f>
        <v>2044</v>
      </c>
      <c r="D48" s="509">
        <f>IF(F47+SUM(E$17:E47)=D$10,F47,D$10-SUM(E$17:E47))</f>
        <v>4018456.330138444</v>
      </c>
      <c r="E48" s="510">
        <f>IF(+I14&lt;F47,I14,D48)</f>
        <v>876188.96969696973</v>
      </c>
      <c r="F48" s="511">
        <f t="shared" si="22"/>
        <v>3142267.3604414742</v>
      </c>
      <c r="G48" s="512">
        <f t="shared" si="23"/>
        <v>1287066.9051724509</v>
      </c>
      <c r="H48" s="478">
        <f t="shared" si="24"/>
        <v>1287066.9051724509</v>
      </c>
      <c r="I48" s="501">
        <f t="shared" si="7"/>
        <v>0</v>
      </c>
      <c r="J48" s="501"/>
      <c r="K48" s="513"/>
      <c r="L48" s="505">
        <f t="shared" si="2"/>
        <v>0</v>
      </c>
      <c r="M48" s="513"/>
      <c r="N48" s="505">
        <f t="shared" si="4"/>
        <v>0</v>
      </c>
      <c r="O48" s="505">
        <f t="shared" si="5"/>
        <v>0</v>
      </c>
      <c r="P48" s="279"/>
      <c r="R48" s="244"/>
      <c r="S48" s="244"/>
      <c r="T48" s="244"/>
      <c r="U48" s="244"/>
    </row>
    <row r="49" spans="2:21" ht="12.5">
      <c r="B49" s="145" t="str">
        <f t="shared" si="0"/>
        <v/>
      </c>
      <c r="C49" s="496">
        <f>IF(D11="","-",+C48+1)</f>
        <v>2045</v>
      </c>
      <c r="D49" s="509">
        <f>IF(F48+SUM(E$17:E48)=D$10,F48,D$10-SUM(E$17:E48))</f>
        <v>3142267.3604414742</v>
      </c>
      <c r="E49" s="510">
        <f>IF(+I14&lt;F48,I14,D49)</f>
        <v>876188.96969696973</v>
      </c>
      <c r="F49" s="511">
        <f t="shared" si="22"/>
        <v>2266078.3907445045</v>
      </c>
      <c r="G49" s="512">
        <f t="shared" si="23"/>
        <v>1186516.5333073623</v>
      </c>
      <c r="H49" s="478">
        <f t="shared" si="24"/>
        <v>1186516.5333073623</v>
      </c>
      <c r="I49" s="501">
        <f t="shared" si="7"/>
        <v>0</v>
      </c>
      <c r="J49" s="501"/>
      <c r="K49" s="513"/>
      <c r="L49" s="505">
        <f t="shared" si="2"/>
        <v>0</v>
      </c>
      <c r="M49" s="513"/>
      <c r="N49" s="505">
        <f t="shared" si="4"/>
        <v>0</v>
      </c>
      <c r="O49" s="505">
        <f t="shared" si="5"/>
        <v>0</v>
      </c>
      <c r="P49" s="279"/>
      <c r="R49" s="244"/>
      <c r="S49" s="244"/>
      <c r="T49" s="244"/>
      <c r="U49" s="244"/>
    </row>
    <row r="50" spans="2:21" ht="12.5">
      <c r="B50" s="145" t="str">
        <f t="shared" ref="B50:B73" si="25">IF(D50=F49,"","IU")</f>
        <v/>
      </c>
      <c r="C50" s="496">
        <f>IF(D11="","-",+C49+1)</f>
        <v>2046</v>
      </c>
      <c r="D50" s="509">
        <f>IF(F49+SUM(E$17:E49)=D$10,F49,D$10-SUM(E$17:E49))</f>
        <v>2266078.3907445045</v>
      </c>
      <c r="E50" s="510">
        <f>IF(+I14&lt;F49,I14,D50)</f>
        <v>876188.96969696973</v>
      </c>
      <c r="F50" s="511">
        <f t="shared" ref="F50:F73" si="26">+D50-E50</f>
        <v>1389889.4210475348</v>
      </c>
      <c r="G50" s="512">
        <f t="shared" si="23"/>
        <v>1085966.161442274</v>
      </c>
      <c r="H50" s="478">
        <f t="shared" si="24"/>
        <v>1085966.161442274</v>
      </c>
      <c r="I50" s="501">
        <f t="shared" ref="I50:I73" si="27">H50-G50</f>
        <v>0</v>
      </c>
      <c r="J50" s="501"/>
      <c r="K50" s="513"/>
      <c r="L50" s="505">
        <f t="shared" ref="L50:L73" si="28">IF(K50&lt;&gt;0,+G50-K50,0)</f>
        <v>0</v>
      </c>
      <c r="M50" s="513"/>
      <c r="N50" s="505">
        <f t="shared" ref="N50:N73" si="29">IF(M50&lt;&gt;0,+H50-M50,0)</f>
        <v>0</v>
      </c>
      <c r="O50" s="505">
        <f t="shared" ref="O50:O73" si="30">+N50-L50</f>
        <v>0</v>
      </c>
      <c r="P50" s="279"/>
      <c r="R50" s="244"/>
      <c r="S50" s="244"/>
      <c r="T50" s="244"/>
      <c r="U50" s="244"/>
    </row>
    <row r="51" spans="2:21" ht="12.5">
      <c r="B51" s="145" t="str">
        <f t="shared" si="25"/>
        <v/>
      </c>
      <c r="C51" s="496">
        <f>IF(D11="","-",+C50+1)</f>
        <v>2047</v>
      </c>
      <c r="D51" s="509">
        <f>IF(F50+SUM(E$17:E50)=D$10,F50,D$10-SUM(E$17:E50))</f>
        <v>1389889.4210475348</v>
      </c>
      <c r="E51" s="510">
        <f>IF(+I14&lt;F50,I14,D51)</f>
        <v>876188.96969696973</v>
      </c>
      <c r="F51" s="511">
        <f t="shared" si="26"/>
        <v>513700.45135056507</v>
      </c>
      <c r="G51" s="512">
        <f t="shared" si="23"/>
        <v>985415.78957718541</v>
      </c>
      <c r="H51" s="478">
        <f t="shared" si="24"/>
        <v>985415.78957718541</v>
      </c>
      <c r="I51" s="501">
        <f t="shared" si="27"/>
        <v>0</v>
      </c>
      <c r="J51" s="501"/>
      <c r="K51" s="513"/>
      <c r="L51" s="505">
        <f t="shared" si="28"/>
        <v>0</v>
      </c>
      <c r="M51" s="513"/>
      <c r="N51" s="505">
        <f t="shared" si="29"/>
        <v>0</v>
      </c>
      <c r="O51" s="505">
        <f t="shared" si="30"/>
        <v>0</v>
      </c>
      <c r="P51" s="279"/>
      <c r="R51" s="244"/>
      <c r="S51" s="244"/>
      <c r="T51" s="244"/>
      <c r="U51" s="244"/>
    </row>
    <row r="52" spans="2:21" ht="12.5">
      <c r="B52" s="145" t="str">
        <f t="shared" si="25"/>
        <v/>
      </c>
      <c r="C52" s="496">
        <f>IF(D11="","-",+C51+1)</f>
        <v>2048</v>
      </c>
      <c r="D52" s="509">
        <f>IF(F51+SUM(E$17:E51)=D$10,F51,D$10-SUM(E$17:E51))</f>
        <v>513700.45135056507</v>
      </c>
      <c r="E52" s="510">
        <f>IF(+I14&lt;F51,I14,D52)</f>
        <v>513700.45135056507</v>
      </c>
      <c r="F52" s="511">
        <f t="shared" si="26"/>
        <v>0</v>
      </c>
      <c r="G52" s="512">
        <f t="shared" si="23"/>
        <v>543176.26832440076</v>
      </c>
      <c r="H52" s="478">
        <f t="shared" si="24"/>
        <v>543176.26832440076</v>
      </c>
      <c r="I52" s="501">
        <f t="shared" si="27"/>
        <v>0</v>
      </c>
      <c r="J52" s="501"/>
      <c r="K52" s="513"/>
      <c r="L52" s="505">
        <f t="shared" si="28"/>
        <v>0</v>
      </c>
      <c r="M52" s="513"/>
      <c r="N52" s="505">
        <f t="shared" si="29"/>
        <v>0</v>
      </c>
      <c r="O52" s="505">
        <f t="shared" si="30"/>
        <v>0</v>
      </c>
      <c r="P52" s="279"/>
      <c r="R52" s="244"/>
      <c r="S52" s="244"/>
      <c r="T52" s="244"/>
      <c r="U52" s="244"/>
    </row>
    <row r="53" spans="2:21" ht="12.5">
      <c r="B53" s="145" t="str">
        <f t="shared" si="25"/>
        <v/>
      </c>
      <c r="C53" s="496">
        <f>IF(D11="","-",+C52+1)</f>
        <v>2049</v>
      </c>
      <c r="D53" s="471">
        <f>IF(F52+SUM(E$17:E52)=D$10,F52,D$10-SUM(E$17:E52))</f>
        <v>0</v>
      </c>
      <c r="E53" s="510">
        <f>IF(+I14&lt;F52,I14,D53)</f>
        <v>0</v>
      </c>
      <c r="F53" s="511">
        <f t="shared" si="26"/>
        <v>0</v>
      </c>
      <c r="G53" s="512">
        <f t="shared" si="23"/>
        <v>0</v>
      </c>
      <c r="H53" s="478">
        <f t="shared" si="24"/>
        <v>0</v>
      </c>
      <c r="I53" s="501">
        <f t="shared" si="27"/>
        <v>0</v>
      </c>
      <c r="J53" s="501"/>
      <c r="K53" s="513"/>
      <c r="L53" s="505">
        <f t="shared" si="28"/>
        <v>0</v>
      </c>
      <c r="M53" s="513"/>
      <c r="N53" s="505">
        <f t="shared" si="29"/>
        <v>0</v>
      </c>
      <c r="O53" s="505">
        <f t="shared" si="30"/>
        <v>0</v>
      </c>
      <c r="P53" s="279"/>
      <c r="R53" s="244"/>
      <c r="S53" s="244"/>
      <c r="T53" s="244"/>
      <c r="U53" s="244"/>
    </row>
    <row r="54" spans="2:21" ht="12.5">
      <c r="B54" s="145" t="str">
        <f t="shared" si="25"/>
        <v/>
      </c>
      <c r="C54" s="496">
        <f>IF(D11="","-",+C53+1)</f>
        <v>2050</v>
      </c>
      <c r="D54" s="509">
        <f>IF(F53+SUM(E$17:E53)=D$10,F53,D$10-SUM(E$17:E53))</f>
        <v>0</v>
      </c>
      <c r="E54" s="510">
        <f>IF(+I14&lt;F53,I14,D54)</f>
        <v>0</v>
      </c>
      <c r="F54" s="511">
        <f t="shared" si="26"/>
        <v>0</v>
      </c>
      <c r="G54" s="512">
        <f t="shared" si="23"/>
        <v>0</v>
      </c>
      <c r="H54" s="478">
        <f t="shared" si="24"/>
        <v>0</v>
      </c>
      <c r="I54" s="501">
        <f t="shared" si="27"/>
        <v>0</v>
      </c>
      <c r="J54" s="501"/>
      <c r="K54" s="513"/>
      <c r="L54" s="505">
        <f t="shared" si="28"/>
        <v>0</v>
      </c>
      <c r="M54" s="513"/>
      <c r="N54" s="505">
        <f t="shared" si="29"/>
        <v>0</v>
      </c>
      <c r="O54" s="505">
        <f t="shared" si="30"/>
        <v>0</v>
      </c>
      <c r="P54" s="279"/>
      <c r="R54" s="244"/>
      <c r="S54" s="244"/>
      <c r="T54" s="244"/>
      <c r="U54" s="244"/>
    </row>
    <row r="55" spans="2:21" ht="12.5">
      <c r="B55" s="145" t="str">
        <f t="shared" si="25"/>
        <v/>
      </c>
      <c r="C55" s="496">
        <f>IF(D11="","-",+C54+1)</f>
        <v>2051</v>
      </c>
      <c r="D55" s="509">
        <f>IF(F54+SUM(E$17:E54)=D$10,F54,D$10-SUM(E$17:E54))</f>
        <v>0</v>
      </c>
      <c r="E55" s="510">
        <f>IF(+I14&lt;F54,I14,D55)</f>
        <v>0</v>
      </c>
      <c r="F55" s="511">
        <f t="shared" si="26"/>
        <v>0</v>
      </c>
      <c r="G55" s="512">
        <f t="shared" si="23"/>
        <v>0</v>
      </c>
      <c r="H55" s="478">
        <f t="shared" si="24"/>
        <v>0</v>
      </c>
      <c r="I55" s="501">
        <f t="shared" si="27"/>
        <v>0</v>
      </c>
      <c r="J55" s="501"/>
      <c r="K55" s="513"/>
      <c r="L55" s="505">
        <f t="shared" si="28"/>
        <v>0</v>
      </c>
      <c r="M55" s="513"/>
      <c r="N55" s="505">
        <f t="shared" si="29"/>
        <v>0</v>
      </c>
      <c r="O55" s="505">
        <f t="shared" si="30"/>
        <v>0</v>
      </c>
      <c r="P55" s="279"/>
      <c r="R55" s="244"/>
      <c r="S55" s="244"/>
      <c r="T55" s="244"/>
      <c r="U55" s="244"/>
    </row>
    <row r="56" spans="2:21" ht="12.5">
      <c r="B56" s="145" t="str">
        <f t="shared" si="25"/>
        <v/>
      </c>
      <c r="C56" s="496">
        <f>IF(D11="","-",+C55+1)</f>
        <v>2052</v>
      </c>
      <c r="D56" s="509">
        <f>IF(F55+SUM(E$17:E55)=D$10,F55,D$10-SUM(E$17:E55))</f>
        <v>0</v>
      </c>
      <c r="E56" s="510">
        <f>IF(+I14&lt;F55,I14,D56)</f>
        <v>0</v>
      </c>
      <c r="F56" s="511">
        <f t="shared" si="26"/>
        <v>0</v>
      </c>
      <c r="G56" s="512">
        <f t="shared" si="23"/>
        <v>0</v>
      </c>
      <c r="H56" s="478">
        <f t="shared" si="24"/>
        <v>0</v>
      </c>
      <c r="I56" s="501">
        <f t="shared" si="27"/>
        <v>0</v>
      </c>
      <c r="J56" s="501"/>
      <c r="K56" s="513"/>
      <c r="L56" s="505">
        <f t="shared" si="28"/>
        <v>0</v>
      </c>
      <c r="M56" s="513"/>
      <c r="N56" s="505">
        <f t="shared" si="29"/>
        <v>0</v>
      </c>
      <c r="O56" s="505">
        <f t="shared" si="30"/>
        <v>0</v>
      </c>
      <c r="P56" s="279"/>
      <c r="R56" s="244"/>
      <c r="S56" s="244"/>
      <c r="T56" s="244"/>
      <c r="U56" s="244"/>
    </row>
    <row r="57" spans="2:21" ht="12.5">
      <c r="B57" s="145" t="str">
        <f t="shared" si="25"/>
        <v/>
      </c>
      <c r="C57" s="496">
        <f>IF(D11="","-",+C56+1)</f>
        <v>2053</v>
      </c>
      <c r="D57" s="509">
        <f>IF(F56+SUM(E$17:E56)=D$10,F56,D$10-SUM(E$17:E56))</f>
        <v>0</v>
      </c>
      <c r="E57" s="510">
        <f>IF(+I14&lt;F56,I14,D57)</f>
        <v>0</v>
      </c>
      <c r="F57" s="511">
        <f t="shared" si="26"/>
        <v>0</v>
      </c>
      <c r="G57" s="512">
        <f t="shared" si="23"/>
        <v>0</v>
      </c>
      <c r="H57" s="478">
        <f t="shared" si="24"/>
        <v>0</v>
      </c>
      <c r="I57" s="501">
        <f t="shared" si="27"/>
        <v>0</v>
      </c>
      <c r="J57" s="501"/>
      <c r="K57" s="513"/>
      <c r="L57" s="505">
        <f t="shared" si="28"/>
        <v>0</v>
      </c>
      <c r="M57" s="513"/>
      <c r="N57" s="505">
        <f t="shared" si="29"/>
        <v>0</v>
      </c>
      <c r="O57" s="505">
        <f t="shared" si="30"/>
        <v>0</v>
      </c>
      <c r="P57" s="279"/>
      <c r="R57" s="244"/>
      <c r="S57" s="244"/>
      <c r="T57" s="244"/>
      <c r="U57" s="244"/>
    </row>
    <row r="58" spans="2:21" ht="12.5">
      <c r="B58" s="145" t="str">
        <f t="shared" si="25"/>
        <v/>
      </c>
      <c r="C58" s="496">
        <f>IF(D11="","-",+C57+1)</f>
        <v>2054</v>
      </c>
      <c r="D58" s="509">
        <f>IF(F57+SUM(E$17:E57)=D$10,F57,D$10-SUM(E$17:E57))</f>
        <v>0</v>
      </c>
      <c r="E58" s="510">
        <f>IF(+I14&lt;F57,I14,D58)</f>
        <v>0</v>
      </c>
      <c r="F58" s="511">
        <f t="shared" si="26"/>
        <v>0</v>
      </c>
      <c r="G58" s="512">
        <f t="shared" si="23"/>
        <v>0</v>
      </c>
      <c r="H58" s="478">
        <f t="shared" si="24"/>
        <v>0</v>
      </c>
      <c r="I58" s="501">
        <f t="shared" si="27"/>
        <v>0</v>
      </c>
      <c r="J58" s="501"/>
      <c r="K58" s="513"/>
      <c r="L58" s="505">
        <f t="shared" si="28"/>
        <v>0</v>
      </c>
      <c r="M58" s="513"/>
      <c r="N58" s="505">
        <f t="shared" si="29"/>
        <v>0</v>
      </c>
      <c r="O58" s="505">
        <f t="shared" si="30"/>
        <v>0</v>
      </c>
      <c r="P58" s="279"/>
      <c r="R58" s="244"/>
      <c r="S58" s="244"/>
      <c r="T58" s="244"/>
      <c r="U58" s="244"/>
    </row>
    <row r="59" spans="2:21" ht="12.5">
      <c r="B59" s="145" t="str">
        <f t="shared" si="25"/>
        <v/>
      </c>
      <c r="C59" s="496">
        <f>IF(D11="","-",+C58+1)</f>
        <v>2055</v>
      </c>
      <c r="D59" s="509">
        <f>IF(F58+SUM(E$17:E58)=D$10,F58,D$10-SUM(E$17:E58))</f>
        <v>0</v>
      </c>
      <c r="E59" s="510">
        <f>IF(+I14&lt;F58,I14,D59)</f>
        <v>0</v>
      </c>
      <c r="F59" s="511">
        <f t="shared" si="26"/>
        <v>0</v>
      </c>
      <c r="G59" s="512">
        <f t="shared" si="23"/>
        <v>0</v>
      </c>
      <c r="H59" s="478">
        <f t="shared" si="24"/>
        <v>0</v>
      </c>
      <c r="I59" s="501">
        <f t="shared" si="27"/>
        <v>0</v>
      </c>
      <c r="J59" s="501"/>
      <c r="K59" s="513"/>
      <c r="L59" s="505">
        <f t="shared" si="28"/>
        <v>0</v>
      </c>
      <c r="M59" s="513"/>
      <c r="N59" s="505">
        <f t="shared" si="29"/>
        <v>0</v>
      </c>
      <c r="O59" s="505">
        <f t="shared" si="30"/>
        <v>0</v>
      </c>
      <c r="P59" s="279"/>
      <c r="R59" s="244"/>
      <c r="S59" s="244"/>
      <c r="T59" s="244"/>
      <c r="U59" s="244"/>
    </row>
    <row r="60" spans="2:21" ht="12.5">
      <c r="B60" s="145" t="str">
        <f t="shared" si="25"/>
        <v/>
      </c>
      <c r="C60" s="496">
        <f>IF(D11="","-",+C59+1)</f>
        <v>2056</v>
      </c>
      <c r="D60" s="509">
        <f>IF(F59+SUM(E$17:E59)=D$10,F59,D$10-SUM(E$17:E59))</f>
        <v>0</v>
      </c>
      <c r="E60" s="510">
        <f>IF(+I14&lt;F59,I14,D60)</f>
        <v>0</v>
      </c>
      <c r="F60" s="511">
        <f t="shared" si="26"/>
        <v>0</v>
      </c>
      <c r="G60" s="512">
        <f t="shared" si="23"/>
        <v>0</v>
      </c>
      <c r="H60" s="478">
        <f t="shared" si="24"/>
        <v>0</v>
      </c>
      <c r="I60" s="501">
        <f t="shared" si="27"/>
        <v>0</v>
      </c>
      <c r="J60" s="501"/>
      <c r="K60" s="513"/>
      <c r="L60" s="505">
        <f t="shared" si="28"/>
        <v>0</v>
      </c>
      <c r="M60" s="513"/>
      <c r="N60" s="505">
        <f t="shared" si="29"/>
        <v>0</v>
      </c>
      <c r="O60" s="505">
        <f t="shared" si="30"/>
        <v>0</v>
      </c>
      <c r="P60" s="279"/>
      <c r="R60" s="244"/>
      <c r="S60" s="244"/>
      <c r="T60" s="244"/>
      <c r="U60" s="244"/>
    </row>
    <row r="61" spans="2:21" ht="12.5">
      <c r="B61" s="145" t="str">
        <f t="shared" si="25"/>
        <v/>
      </c>
      <c r="C61" s="496">
        <f>IF(D11="","-",+C60+1)</f>
        <v>2057</v>
      </c>
      <c r="D61" s="509">
        <f>IF(F60+SUM(E$17:E60)=D$10,F60,D$10-SUM(E$17:E60))</f>
        <v>0</v>
      </c>
      <c r="E61" s="510">
        <f>IF(+I14&lt;F60,I14,D61)</f>
        <v>0</v>
      </c>
      <c r="F61" s="511">
        <f t="shared" si="26"/>
        <v>0</v>
      </c>
      <c r="G61" s="512">
        <f t="shared" si="23"/>
        <v>0</v>
      </c>
      <c r="H61" s="478">
        <f t="shared" si="24"/>
        <v>0</v>
      </c>
      <c r="I61" s="501">
        <f t="shared" si="27"/>
        <v>0</v>
      </c>
      <c r="J61" s="501"/>
      <c r="K61" s="513"/>
      <c r="L61" s="505">
        <f t="shared" si="28"/>
        <v>0</v>
      </c>
      <c r="M61" s="513"/>
      <c r="N61" s="505">
        <f t="shared" si="29"/>
        <v>0</v>
      </c>
      <c r="O61" s="505">
        <f t="shared" si="30"/>
        <v>0</v>
      </c>
      <c r="P61" s="279"/>
      <c r="R61" s="244"/>
      <c r="S61" s="244"/>
      <c r="T61" s="244"/>
      <c r="U61" s="244"/>
    </row>
    <row r="62" spans="2:21" ht="12.5">
      <c r="B62" s="145" t="str">
        <f t="shared" si="25"/>
        <v/>
      </c>
      <c r="C62" s="496">
        <f>IF(D11="","-",+C61+1)</f>
        <v>2058</v>
      </c>
      <c r="D62" s="509">
        <f>IF(F61+SUM(E$17:E61)=D$10,F61,D$10-SUM(E$17:E61))</f>
        <v>0</v>
      </c>
      <c r="E62" s="510">
        <f>IF(+I14&lt;F61,I14,D62)</f>
        <v>0</v>
      </c>
      <c r="F62" s="511">
        <f t="shared" si="26"/>
        <v>0</v>
      </c>
      <c r="G62" s="524">
        <f t="shared" si="23"/>
        <v>0</v>
      </c>
      <c r="H62" s="478">
        <f t="shared" si="24"/>
        <v>0</v>
      </c>
      <c r="I62" s="501">
        <f t="shared" si="27"/>
        <v>0</v>
      </c>
      <c r="J62" s="501"/>
      <c r="K62" s="513"/>
      <c r="L62" s="505">
        <f t="shared" si="28"/>
        <v>0</v>
      </c>
      <c r="M62" s="513"/>
      <c r="N62" s="505">
        <f t="shared" si="29"/>
        <v>0</v>
      </c>
      <c r="O62" s="505">
        <f t="shared" si="30"/>
        <v>0</v>
      </c>
      <c r="P62" s="279"/>
      <c r="R62" s="244"/>
      <c r="S62" s="244"/>
      <c r="T62" s="244"/>
      <c r="U62" s="244"/>
    </row>
    <row r="63" spans="2:21" ht="12.5">
      <c r="B63" s="145" t="str">
        <f t="shared" si="25"/>
        <v/>
      </c>
      <c r="C63" s="496">
        <f>IF(D11="","-",+C62+1)</f>
        <v>2059</v>
      </c>
      <c r="D63" s="509">
        <f>IF(F62+SUM(E$17:E62)=D$10,F62,D$10-SUM(E$17:E62))</f>
        <v>0</v>
      </c>
      <c r="E63" s="510">
        <f>IF(+I14&lt;F62,I14,D63)</f>
        <v>0</v>
      </c>
      <c r="F63" s="511">
        <f t="shared" si="26"/>
        <v>0</v>
      </c>
      <c r="G63" s="524">
        <f t="shared" si="23"/>
        <v>0</v>
      </c>
      <c r="H63" s="478">
        <f t="shared" si="24"/>
        <v>0</v>
      </c>
      <c r="I63" s="501">
        <f t="shared" si="27"/>
        <v>0</v>
      </c>
      <c r="J63" s="501"/>
      <c r="K63" s="513"/>
      <c r="L63" s="505">
        <f t="shared" si="28"/>
        <v>0</v>
      </c>
      <c r="M63" s="513"/>
      <c r="N63" s="505">
        <f t="shared" si="29"/>
        <v>0</v>
      </c>
      <c r="O63" s="505">
        <f t="shared" si="30"/>
        <v>0</v>
      </c>
      <c r="P63" s="279"/>
      <c r="R63" s="244"/>
      <c r="S63" s="244"/>
      <c r="T63" s="244"/>
      <c r="U63" s="244"/>
    </row>
    <row r="64" spans="2:21" ht="12.5">
      <c r="B64" s="145" t="str">
        <f t="shared" si="25"/>
        <v/>
      </c>
      <c r="C64" s="496">
        <f>IF(D11="","-",+C63+1)</f>
        <v>2060</v>
      </c>
      <c r="D64" s="509">
        <f>IF(F63+SUM(E$17:E63)=D$10,F63,D$10-SUM(E$17:E63))</f>
        <v>0</v>
      </c>
      <c r="E64" s="510">
        <f>IF(+I14&lt;F63,I14,D64)</f>
        <v>0</v>
      </c>
      <c r="F64" s="511">
        <f t="shared" si="26"/>
        <v>0</v>
      </c>
      <c r="G64" s="524">
        <f t="shared" si="23"/>
        <v>0</v>
      </c>
      <c r="H64" s="478">
        <f t="shared" si="24"/>
        <v>0</v>
      </c>
      <c r="I64" s="501">
        <f t="shared" si="27"/>
        <v>0</v>
      </c>
      <c r="J64" s="501"/>
      <c r="K64" s="513"/>
      <c r="L64" s="505">
        <f t="shared" si="28"/>
        <v>0</v>
      </c>
      <c r="M64" s="513"/>
      <c r="N64" s="505">
        <f t="shared" si="29"/>
        <v>0</v>
      </c>
      <c r="O64" s="505">
        <f t="shared" si="30"/>
        <v>0</v>
      </c>
      <c r="P64" s="279"/>
      <c r="R64" s="244"/>
      <c r="S64" s="244"/>
      <c r="T64" s="244"/>
      <c r="U64" s="244"/>
    </row>
    <row r="65" spans="2:21" ht="12.5">
      <c r="B65" s="145" t="str">
        <f t="shared" si="25"/>
        <v/>
      </c>
      <c r="C65" s="496">
        <f>IF(D11="","-",+C64+1)</f>
        <v>2061</v>
      </c>
      <c r="D65" s="509">
        <f>IF(F64+SUM(E$17:E64)=D$10,F64,D$10-SUM(E$17:E64))</f>
        <v>0</v>
      </c>
      <c r="E65" s="510">
        <f>IF(+I14&lt;F64,I14,D65)</f>
        <v>0</v>
      </c>
      <c r="F65" s="511">
        <f t="shared" si="26"/>
        <v>0</v>
      </c>
      <c r="G65" s="524">
        <f t="shared" si="23"/>
        <v>0</v>
      </c>
      <c r="H65" s="478">
        <f t="shared" si="24"/>
        <v>0</v>
      </c>
      <c r="I65" s="501">
        <f t="shared" si="27"/>
        <v>0</v>
      </c>
      <c r="J65" s="501"/>
      <c r="K65" s="513"/>
      <c r="L65" s="505">
        <f t="shared" si="28"/>
        <v>0</v>
      </c>
      <c r="M65" s="513"/>
      <c r="N65" s="505">
        <f t="shared" si="29"/>
        <v>0</v>
      </c>
      <c r="O65" s="505">
        <f t="shared" si="30"/>
        <v>0</v>
      </c>
      <c r="P65" s="279"/>
      <c r="R65" s="244"/>
      <c r="S65" s="244"/>
      <c r="T65" s="244"/>
      <c r="U65" s="244"/>
    </row>
    <row r="66" spans="2:21" ht="12.5">
      <c r="B66" s="145" t="str">
        <f t="shared" si="25"/>
        <v/>
      </c>
      <c r="C66" s="496">
        <f>IF(D11="","-",+C65+1)</f>
        <v>2062</v>
      </c>
      <c r="D66" s="509">
        <f>IF(F65+SUM(E$17:E65)=D$10,F65,D$10-SUM(E$17:E65))</f>
        <v>0</v>
      </c>
      <c r="E66" s="510">
        <f>IF(+I14&lt;F65,I14,D66)</f>
        <v>0</v>
      </c>
      <c r="F66" s="511">
        <f t="shared" si="26"/>
        <v>0</v>
      </c>
      <c r="G66" s="524">
        <f t="shared" si="23"/>
        <v>0</v>
      </c>
      <c r="H66" s="478">
        <f t="shared" si="24"/>
        <v>0</v>
      </c>
      <c r="I66" s="501">
        <f t="shared" si="27"/>
        <v>0</v>
      </c>
      <c r="J66" s="501"/>
      <c r="K66" s="513"/>
      <c r="L66" s="505">
        <f t="shared" si="28"/>
        <v>0</v>
      </c>
      <c r="M66" s="513"/>
      <c r="N66" s="505">
        <f t="shared" si="29"/>
        <v>0</v>
      </c>
      <c r="O66" s="505">
        <f t="shared" si="30"/>
        <v>0</v>
      </c>
      <c r="P66" s="279"/>
      <c r="R66" s="244"/>
      <c r="S66" s="244"/>
      <c r="T66" s="244"/>
      <c r="U66" s="244"/>
    </row>
    <row r="67" spans="2:21" ht="12.5">
      <c r="B67" s="145" t="str">
        <f t="shared" si="25"/>
        <v/>
      </c>
      <c r="C67" s="496">
        <f>IF(D11="","-",+C66+1)</f>
        <v>2063</v>
      </c>
      <c r="D67" s="509">
        <f>IF(F66+SUM(E$17:E66)=D$10,F66,D$10-SUM(E$17:E66))</f>
        <v>0</v>
      </c>
      <c r="E67" s="510">
        <f>IF(+I14&lt;F66,I14,D67)</f>
        <v>0</v>
      </c>
      <c r="F67" s="511">
        <f t="shared" si="26"/>
        <v>0</v>
      </c>
      <c r="G67" s="524">
        <f t="shared" si="23"/>
        <v>0</v>
      </c>
      <c r="H67" s="478">
        <f t="shared" si="24"/>
        <v>0</v>
      </c>
      <c r="I67" s="501">
        <f t="shared" si="27"/>
        <v>0</v>
      </c>
      <c r="J67" s="501"/>
      <c r="K67" s="513"/>
      <c r="L67" s="505">
        <f t="shared" si="28"/>
        <v>0</v>
      </c>
      <c r="M67" s="513"/>
      <c r="N67" s="505">
        <f t="shared" si="29"/>
        <v>0</v>
      </c>
      <c r="O67" s="505">
        <f t="shared" si="30"/>
        <v>0</v>
      </c>
      <c r="P67" s="279"/>
      <c r="R67" s="244"/>
      <c r="S67" s="244"/>
      <c r="T67" s="244"/>
      <c r="U67" s="244"/>
    </row>
    <row r="68" spans="2:21" ht="12.5">
      <c r="B68" s="145" t="str">
        <f t="shared" si="25"/>
        <v/>
      </c>
      <c r="C68" s="496">
        <f>IF(D11="","-",+C67+1)</f>
        <v>2064</v>
      </c>
      <c r="D68" s="509">
        <f>IF(F67+SUM(E$17:E67)=D$10,F67,D$10-SUM(E$17:E67))</f>
        <v>0</v>
      </c>
      <c r="E68" s="510">
        <f>IF(+I14&lt;F67,I14,D68)</f>
        <v>0</v>
      </c>
      <c r="F68" s="511">
        <f t="shared" si="26"/>
        <v>0</v>
      </c>
      <c r="G68" s="524">
        <f t="shared" si="23"/>
        <v>0</v>
      </c>
      <c r="H68" s="478">
        <f t="shared" si="24"/>
        <v>0</v>
      </c>
      <c r="I68" s="501">
        <f t="shared" si="27"/>
        <v>0</v>
      </c>
      <c r="J68" s="501"/>
      <c r="K68" s="513"/>
      <c r="L68" s="505">
        <f t="shared" si="28"/>
        <v>0</v>
      </c>
      <c r="M68" s="513"/>
      <c r="N68" s="505">
        <f t="shared" si="29"/>
        <v>0</v>
      </c>
      <c r="O68" s="505">
        <f t="shared" si="30"/>
        <v>0</v>
      </c>
      <c r="P68" s="279"/>
      <c r="R68" s="244"/>
      <c r="S68" s="244"/>
      <c r="T68" s="244"/>
      <c r="U68" s="244"/>
    </row>
    <row r="69" spans="2:21" ht="12.5">
      <c r="B69" s="145" t="str">
        <f t="shared" si="25"/>
        <v/>
      </c>
      <c r="C69" s="496">
        <f>IF(D11="","-",+C68+1)</f>
        <v>2065</v>
      </c>
      <c r="D69" s="509">
        <f>IF(F68+SUM(E$17:E68)=D$10,F68,D$10-SUM(E$17:E68))</f>
        <v>0</v>
      </c>
      <c r="E69" s="510">
        <f>IF(+I14&lt;F68,I14,D69)</f>
        <v>0</v>
      </c>
      <c r="F69" s="511">
        <f t="shared" si="26"/>
        <v>0</v>
      </c>
      <c r="G69" s="524">
        <f t="shared" si="23"/>
        <v>0</v>
      </c>
      <c r="H69" s="478">
        <f t="shared" si="24"/>
        <v>0</v>
      </c>
      <c r="I69" s="501">
        <f t="shared" si="27"/>
        <v>0</v>
      </c>
      <c r="J69" s="501"/>
      <c r="K69" s="513"/>
      <c r="L69" s="505">
        <f t="shared" si="28"/>
        <v>0</v>
      </c>
      <c r="M69" s="513"/>
      <c r="N69" s="505">
        <f t="shared" si="29"/>
        <v>0</v>
      </c>
      <c r="O69" s="505">
        <f t="shared" si="30"/>
        <v>0</v>
      </c>
      <c r="P69" s="279"/>
      <c r="R69" s="244"/>
      <c r="S69" s="244"/>
      <c r="T69" s="244"/>
      <c r="U69" s="244"/>
    </row>
    <row r="70" spans="2:21" ht="12.5">
      <c r="B70" s="145" t="str">
        <f t="shared" si="25"/>
        <v/>
      </c>
      <c r="C70" s="496">
        <f>IF(D11="","-",+C69+1)</f>
        <v>2066</v>
      </c>
      <c r="D70" s="509">
        <f>IF(F69+SUM(E$17:E69)=D$10,F69,D$10-SUM(E$17:E69))</f>
        <v>0</v>
      </c>
      <c r="E70" s="510">
        <f>IF(+I14&lt;F69,I14,D70)</f>
        <v>0</v>
      </c>
      <c r="F70" s="511">
        <f t="shared" si="26"/>
        <v>0</v>
      </c>
      <c r="G70" s="524">
        <f t="shared" si="23"/>
        <v>0</v>
      </c>
      <c r="H70" s="478">
        <f t="shared" si="24"/>
        <v>0</v>
      </c>
      <c r="I70" s="501">
        <f t="shared" si="27"/>
        <v>0</v>
      </c>
      <c r="J70" s="501"/>
      <c r="K70" s="513"/>
      <c r="L70" s="505">
        <f t="shared" si="28"/>
        <v>0</v>
      </c>
      <c r="M70" s="513"/>
      <c r="N70" s="505">
        <f t="shared" si="29"/>
        <v>0</v>
      </c>
      <c r="O70" s="505">
        <f t="shared" si="30"/>
        <v>0</v>
      </c>
      <c r="P70" s="279"/>
      <c r="R70" s="244"/>
      <c r="S70" s="244"/>
      <c r="T70" s="244"/>
      <c r="U70" s="244"/>
    </row>
    <row r="71" spans="2:21" ht="12.5">
      <c r="B71" s="145" t="str">
        <f t="shared" si="25"/>
        <v/>
      </c>
      <c r="C71" s="496">
        <f>IF(D11="","-",+C70+1)</f>
        <v>2067</v>
      </c>
      <c r="D71" s="509">
        <f>IF(F70+SUM(E$17:E70)=D$10,F70,D$10-SUM(E$17:E70))</f>
        <v>0</v>
      </c>
      <c r="E71" s="510">
        <f>IF(+I14&lt;F70,I14,D71)</f>
        <v>0</v>
      </c>
      <c r="F71" s="511">
        <f t="shared" si="26"/>
        <v>0</v>
      </c>
      <c r="G71" s="524">
        <f t="shared" si="23"/>
        <v>0</v>
      </c>
      <c r="H71" s="478">
        <f t="shared" si="24"/>
        <v>0</v>
      </c>
      <c r="I71" s="501">
        <f t="shared" si="27"/>
        <v>0</v>
      </c>
      <c r="J71" s="501"/>
      <c r="K71" s="513"/>
      <c r="L71" s="505">
        <f t="shared" si="28"/>
        <v>0</v>
      </c>
      <c r="M71" s="513"/>
      <c r="N71" s="505">
        <f t="shared" si="29"/>
        <v>0</v>
      </c>
      <c r="O71" s="505">
        <f t="shared" si="30"/>
        <v>0</v>
      </c>
      <c r="P71" s="279"/>
      <c r="R71" s="244"/>
      <c r="S71" s="244"/>
      <c r="T71" s="244"/>
      <c r="U71" s="244"/>
    </row>
    <row r="72" spans="2:21" ht="12.5">
      <c r="B72" s="145" t="str">
        <f t="shared" si="25"/>
        <v/>
      </c>
      <c r="C72" s="496">
        <f>IF(D11="","-",+C71+1)</f>
        <v>2068</v>
      </c>
      <c r="D72" s="509">
        <f>IF(F71+SUM(E$17:E71)=D$10,F71,D$10-SUM(E$17:E71))</f>
        <v>0</v>
      </c>
      <c r="E72" s="510">
        <f>IF(+I14&lt;F71,I14,D72)</f>
        <v>0</v>
      </c>
      <c r="F72" s="511">
        <f t="shared" si="26"/>
        <v>0</v>
      </c>
      <c r="G72" s="524">
        <f t="shared" si="23"/>
        <v>0</v>
      </c>
      <c r="H72" s="478">
        <f t="shared" si="24"/>
        <v>0</v>
      </c>
      <c r="I72" s="501">
        <f t="shared" si="27"/>
        <v>0</v>
      </c>
      <c r="J72" s="501"/>
      <c r="K72" s="513"/>
      <c r="L72" s="505">
        <f t="shared" si="28"/>
        <v>0</v>
      </c>
      <c r="M72" s="513"/>
      <c r="N72" s="505">
        <f t="shared" si="29"/>
        <v>0</v>
      </c>
      <c r="O72" s="505">
        <f t="shared" si="30"/>
        <v>0</v>
      </c>
      <c r="P72" s="279"/>
      <c r="R72" s="244"/>
      <c r="S72" s="244"/>
      <c r="T72" s="244"/>
      <c r="U72" s="244"/>
    </row>
    <row r="73" spans="2:21" ht="13" thickBot="1">
      <c r="B73" s="145" t="str">
        <f t="shared" si="25"/>
        <v/>
      </c>
      <c r="C73" s="525">
        <f>IF(D11="","-",+C72+1)</f>
        <v>2069</v>
      </c>
      <c r="D73" s="526">
        <f>IF(F72+SUM(E$17:E72)=D$10,F72,D$10-SUM(E$17:E72))</f>
        <v>0</v>
      </c>
      <c r="E73" s="527">
        <f>IF(+I14&lt;F72,I14,D73)</f>
        <v>0</v>
      </c>
      <c r="F73" s="528">
        <f t="shared" si="26"/>
        <v>0</v>
      </c>
      <c r="G73" s="529">
        <f t="shared" si="23"/>
        <v>0</v>
      </c>
      <c r="H73" s="459">
        <f t="shared" si="24"/>
        <v>0</v>
      </c>
      <c r="I73" s="530">
        <f t="shared" si="27"/>
        <v>0</v>
      </c>
      <c r="J73" s="501"/>
      <c r="K73" s="531"/>
      <c r="L73" s="532">
        <f t="shared" si="28"/>
        <v>0</v>
      </c>
      <c r="M73" s="531"/>
      <c r="N73" s="532">
        <f t="shared" si="29"/>
        <v>0</v>
      </c>
      <c r="O73" s="532">
        <f t="shared" si="30"/>
        <v>0</v>
      </c>
      <c r="P73" s="279"/>
      <c r="R73" s="244"/>
      <c r="S73" s="244"/>
      <c r="T73" s="244"/>
      <c r="U73" s="244"/>
    </row>
    <row r="74" spans="2:21" ht="12.5">
      <c r="C74" s="350" t="s">
        <v>75</v>
      </c>
      <c r="D74" s="295"/>
      <c r="E74" s="295">
        <f>SUM(E17:E73)</f>
        <v>28914235.999999996</v>
      </c>
      <c r="F74" s="295"/>
      <c r="G74" s="295">
        <f>SUM(G17:G73)</f>
        <v>87596544.105476812</v>
      </c>
      <c r="H74" s="295">
        <f>SUM(H17:H73)</f>
        <v>87596544.105476812</v>
      </c>
      <c r="I74" s="295">
        <f>SUM(I17:I73)</f>
        <v>0</v>
      </c>
      <c r="J74" s="295"/>
      <c r="K74" s="295"/>
      <c r="L74" s="295"/>
      <c r="M74" s="295"/>
      <c r="N74" s="295"/>
      <c r="O74" s="279"/>
      <c r="P74" s="279"/>
      <c r="R74" s="244"/>
      <c r="S74" s="244"/>
      <c r="T74" s="244"/>
      <c r="U74" s="244"/>
    </row>
    <row r="75" spans="2:21" ht="12.5">
      <c r="D75" s="293"/>
      <c r="E75" s="244"/>
      <c r="F75" s="244"/>
      <c r="G75" s="244"/>
      <c r="H75" s="326"/>
      <c r="I75" s="326"/>
      <c r="J75" s="295"/>
      <c r="K75" s="326"/>
      <c r="L75" s="326"/>
      <c r="M75" s="326"/>
      <c r="N75" s="326"/>
      <c r="O75" s="244"/>
      <c r="P75" s="244"/>
      <c r="R75" s="244"/>
      <c r="S75" s="244"/>
      <c r="T75" s="244"/>
      <c r="U75" s="244"/>
    </row>
    <row r="76" spans="2:21" ht="13">
      <c r="C76" s="533" t="s">
        <v>95</v>
      </c>
      <c r="D76" s="293"/>
      <c r="E76" s="244"/>
      <c r="F76" s="244"/>
      <c r="G76" s="244"/>
      <c r="H76" s="326"/>
      <c r="I76" s="326"/>
      <c r="J76" s="295"/>
      <c r="K76" s="326"/>
      <c r="L76" s="326"/>
      <c r="M76" s="326"/>
      <c r="N76" s="326"/>
      <c r="O76" s="244"/>
      <c r="P76" s="244"/>
      <c r="R76" s="244"/>
      <c r="S76" s="244"/>
      <c r="T76" s="244"/>
      <c r="U76" s="244"/>
    </row>
    <row r="77" spans="2:21" ht="13">
      <c r="C77" s="455" t="s">
        <v>76</v>
      </c>
      <c r="D77" s="293"/>
      <c r="E77" s="244"/>
      <c r="F77" s="244"/>
      <c r="G77" s="244"/>
      <c r="H77" s="326"/>
      <c r="I77" s="326"/>
      <c r="J77" s="295"/>
      <c r="K77" s="326"/>
      <c r="L77" s="326"/>
      <c r="M77" s="326"/>
      <c r="N77" s="326"/>
      <c r="O77" s="279"/>
      <c r="P77" s="279"/>
      <c r="R77" s="244"/>
      <c r="S77" s="244"/>
      <c r="T77" s="244"/>
      <c r="U77" s="244"/>
    </row>
    <row r="78" spans="2:21" ht="13">
      <c r="C78" s="455" t="s">
        <v>77</v>
      </c>
      <c r="D78" s="350"/>
      <c r="E78" s="350"/>
      <c r="F78" s="350"/>
      <c r="G78" s="295"/>
      <c r="H78" s="295"/>
      <c r="I78" s="351"/>
      <c r="J78" s="351"/>
      <c r="K78" s="351"/>
      <c r="L78" s="351"/>
      <c r="M78" s="351"/>
      <c r="N78" s="351"/>
      <c r="O78" s="279"/>
      <c r="P78" s="279"/>
      <c r="R78" s="244"/>
      <c r="S78" s="244"/>
      <c r="T78" s="244"/>
      <c r="U78" s="244"/>
    </row>
    <row r="79" spans="2:21" ht="13">
      <c r="C79" s="455"/>
      <c r="D79" s="350"/>
      <c r="E79" s="350"/>
      <c r="F79" s="350"/>
      <c r="G79" s="295"/>
      <c r="H79" s="295"/>
      <c r="I79" s="351"/>
      <c r="J79" s="351"/>
      <c r="K79" s="351"/>
      <c r="L79" s="351"/>
      <c r="M79" s="351"/>
      <c r="N79" s="351"/>
      <c r="O79" s="279"/>
      <c r="P79" s="244"/>
      <c r="R79" s="244"/>
      <c r="S79" s="244"/>
      <c r="T79" s="244"/>
      <c r="U79" s="244"/>
    </row>
    <row r="80" spans="2:21" ht="12.5">
      <c r="B80" s="244"/>
      <c r="C80" s="249"/>
      <c r="D80" s="293"/>
      <c r="E80" s="244"/>
      <c r="F80" s="348"/>
      <c r="G80" s="244"/>
      <c r="H80" s="326"/>
      <c r="I80" s="244"/>
      <c r="J80" s="279"/>
      <c r="K80" s="244"/>
      <c r="L80" s="244"/>
      <c r="M80" s="244"/>
      <c r="N80" s="244"/>
      <c r="O80" s="244"/>
      <c r="P80" s="244"/>
      <c r="R80" s="244"/>
      <c r="S80" s="244"/>
      <c r="T80" s="244"/>
      <c r="U80" s="244"/>
    </row>
    <row r="81" spans="1:21" ht="17.5">
      <c r="B81" s="244"/>
      <c r="C81" s="536"/>
      <c r="D81" s="293"/>
      <c r="E81" s="244"/>
      <c r="F81" s="348"/>
      <c r="G81" s="244"/>
      <c r="H81" s="326"/>
      <c r="I81" s="244"/>
      <c r="J81" s="279"/>
      <c r="K81" s="244"/>
      <c r="L81" s="244"/>
      <c r="M81" s="244"/>
      <c r="N81" s="244"/>
      <c r="P81" s="537" t="s">
        <v>128</v>
      </c>
      <c r="R81" s="244"/>
      <c r="S81" s="244"/>
      <c r="T81" s="244"/>
      <c r="U81" s="244"/>
    </row>
    <row r="82" spans="1:21" ht="12.5">
      <c r="B82" s="244"/>
      <c r="C82" s="249"/>
      <c r="D82" s="293"/>
      <c r="E82" s="244"/>
      <c r="F82" s="348"/>
      <c r="G82" s="244"/>
      <c r="H82" s="326"/>
      <c r="I82" s="244"/>
      <c r="J82" s="279"/>
      <c r="K82" s="244"/>
      <c r="L82" s="244"/>
      <c r="M82" s="244"/>
      <c r="N82" s="244"/>
      <c r="O82" s="244"/>
      <c r="P82" s="244"/>
      <c r="R82" s="244"/>
      <c r="S82" s="244"/>
      <c r="T82" s="244"/>
      <c r="U82" s="244"/>
    </row>
    <row r="83" spans="1:21" ht="12.5">
      <c r="B83" s="244"/>
      <c r="C83" s="249"/>
      <c r="D83" s="293"/>
      <c r="E83" s="244"/>
      <c r="F83" s="348"/>
      <c r="G83" s="244"/>
      <c r="H83" s="326"/>
      <c r="I83" s="244"/>
      <c r="J83" s="279"/>
      <c r="K83" s="244"/>
      <c r="L83" s="244"/>
      <c r="M83" s="244"/>
      <c r="N83" s="244"/>
      <c r="O83" s="244"/>
      <c r="P83" s="244"/>
      <c r="Q83" s="244"/>
      <c r="R83" s="244"/>
      <c r="S83" s="244"/>
      <c r="T83" s="244"/>
      <c r="U83" s="244"/>
    </row>
    <row r="84" spans="1:21" ht="20">
      <c r="A84" s="438" t="s">
        <v>190</v>
      </c>
      <c r="B84" s="244"/>
      <c r="C84" s="249"/>
      <c r="D84" s="293"/>
      <c r="E84" s="244"/>
      <c r="F84" s="340"/>
      <c r="G84" s="340"/>
      <c r="H84" s="244"/>
      <c r="I84" s="326"/>
      <c r="K84" s="221"/>
      <c r="L84" s="439"/>
      <c r="M84" s="439"/>
      <c r="P84" s="534" t="str">
        <f ca="1">P1</f>
        <v>OKT Project 6 of 23</v>
      </c>
      <c r="Q84" s="244"/>
      <c r="R84" s="244"/>
      <c r="S84" s="244"/>
      <c r="T84" s="244"/>
      <c r="U84" s="244"/>
    </row>
    <row r="85" spans="1:21" ht="17.5">
      <c r="B85" s="244"/>
      <c r="C85" s="244"/>
      <c r="D85" s="293"/>
      <c r="E85" s="244"/>
      <c r="F85" s="244"/>
      <c r="G85" s="244"/>
      <c r="H85" s="244"/>
      <c r="I85" s="326"/>
      <c r="J85" s="244"/>
      <c r="K85" s="279"/>
      <c r="L85" s="244"/>
      <c r="M85" s="244"/>
      <c r="P85" s="442" t="s">
        <v>132</v>
      </c>
      <c r="Q85" s="244"/>
      <c r="R85" s="244"/>
      <c r="S85" s="244"/>
      <c r="T85" s="244"/>
      <c r="U85" s="244"/>
    </row>
    <row r="86" spans="1:21" ht="17.5" thickBot="1">
      <c r="B86" s="234" t="s">
        <v>42</v>
      </c>
      <c r="C86" s="538" t="s">
        <v>81</v>
      </c>
      <c r="D86" s="293"/>
      <c r="E86" s="244"/>
      <c r="F86" s="244"/>
      <c r="G86" s="244"/>
      <c r="H86" s="244"/>
      <c r="I86" s="326"/>
      <c r="J86" s="326"/>
      <c r="K86" s="295"/>
      <c r="L86" s="326"/>
      <c r="M86" s="326"/>
      <c r="N86" s="326"/>
      <c r="O86" s="295"/>
      <c r="P86" s="244"/>
      <c r="Q86" s="244"/>
      <c r="R86" s="244"/>
      <c r="S86" s="244"/>
      <c r="T86" s="244"/>
      <c r="U86" s="244"/>
    </row>
    <row r="87" spans="1:21" ht="16" thickBot="1">
      <c r="C87" s="305"/>
      <c r="D87" s="293"/>
      <c r="E87" s="244"/>
      <c r="F87" s="244"/>
      <c r="G87" s="244"/>
      <c r="H87" s="244"/>
      <c r="I87" s="326"/>
      <c r="J87" s="326"/>
      <c r="K87" s="295"/>
      <c r="L87" s="539">
        <f>+J93</f>
        <v>2023</v>
      </c>
      <c r="M87" s="540" t="s">
        <v>9</v>
      </c>
      <c r="N87" s="541" t="s">
        <v>134</v>
      </c>
      <c r="O87" s="542" t="s">
        <v>11</v>
      </c>
      <c r="P87" s="244"/>
      <c r="Q87" s="244"/>
      <c r="R87" s="244"/>
      <c r="S87" s="244"/>
      <c r="T87" s="244"/>
      <c r="U87" s="244"/>
    </row>
    <row r="88" spans="1:21" ht="15.5">
      <c r="C88" s="233" t="s">
        <v>44</v>
      </c>
      <c r="D88" s="293"/>
      <c r="E88" s="244"/>
      <c r="F88" s="244"/>
      <c r="G88" s="244"/>
      <c r="H88" s="445"/>
      <c r="I88" s="244" t="s">
        <v>45</v>
      </c>
      <c r="J88" s="244"/>
      <c r="K88" s="543"/>
      <c r="L88" s="544" t="s">
        <v>253</v>
      </c>
      <c r="M88" s="545">
        <f>IF(J93&lt;D11,0,VLOOKUP(J93,C17:O73,9))</f>
        <v>3420411.5472094538</v>
      </c>
      <c r="N88" s="545">
        <f>IF(J93&lt;D11,0,VLOOKUP(J93,C17:O73,11))</f>
        <v>3420411.5472094538</v>
      </c>
      <c r="O88" s="546">
        <f>+N88-M88</f>
        <v>0</v>
      </c>
      <c r="P88" s="244"/>
      <c r="Q88" s="244"/>
      <c r="R88" s="244"/>
      <c r="S88" s="244"/>
      <c r="T88" s="244"/>
      <c r="U88" s="244"/>
    </row>
    <row r="89" spans="1:21" ht="15.5">
      <c r="C89" s="236"/>
      <c r="D89" s="293"/>
      <c r="E89" s="244"/>
      <c r="F89" s="244"/>
      <c r="G89" s="244"/>
      <c r="H89" s="244"/>
      <c r="I89" s="450"/>
      <c r="J89" s="450"/>
      <c r="K89" s="547"/>
      <c r="L89" s="548" t="s">
        <v>254</v>
      </c>
      <c r="M89" s="549">
        <f>IF(J93&lt;D11,0,VLOOKUP(J93,C100:P155,6))</f>
        <v>3770209.3026599083</v>
      </c>
      <c r="N89" s="549">
        <f>IF(J93&lt;D11,0,VLOOKUP(J93,C100:P155,7))</f>
        <v>3770209.3026599083</v>
      </c>
      <c r="O89" s="550">
        <f>+N89-M89</f>
        <v>0</v>
      </c>
      <c r="P89" s="244"/>
      <c r="Q89" s="244"/>
      <c r="R89" s="244"/>
      <c r="S89" s="244"/>
      <c r="T89" s="244"/>
      <c r="U89" s="244"/>
    </row>
    <row r="90" spans="1:21" ht="13.5" thickBot="1">
      <c r="C90" s="455" t="s">
        <v>82</v>
      </c>
      <c r="D90" s="551" t="str">
        <f>+D7</f>
        <v xml:space="preserve">Canadian River - McAlester City 138 kV Line Conversion </v>
      </c>
      <c r="E90" s="244"/>
      <c r="F90" s="244"/>
      <c r="G90" s="244"/>
      <c r="H90" s="244"/>
      <c r="I90" s="326"/>
      <c r="J90" s="326"/>
      <c r="K90" s="552"/>
      <c r="L90" s="553" t="s">
        <v>135</v>
      </c>
      <c r="M90" s="554">
        <f>+M89-M88</f>
        <v>349797.75545045454</v>
      </c>
      <c r="N90" s="554">
        <f>+N89-N88</f>
        <v>349797.75545045454</v>
      </c>
      <c r="O90" s="555">
        <f>+O89-O88</f>
        <v>0</v>
      </c>
      <c r="P90" s="244"/>
      <c r="Q90" s="244"/>
      <c r="R90" s="244"/>
      <c r="S90" s="244"/>
      <c r="T90" s="244"/>
      <c r="U90" s="244"/>
    </row>
    <row r="91" spans="1:21" ht="13.5" thickBot="1">
      <c r="C91" s="533"/>
      <c r="D91" s="556" t="str">
        <f>IF(D8="","",D8)</f>
        <v/>
      </c>
      <c r="E91" s="348"/>
      <c r="F91" s="348"/>
      <c r="G91" s="348"/>
      <c r="H91" s="462"/>
      <c r="I91" s="326"/>
      <c r="J91" s="326"/>
      <c r="K91" s="295"/>
      <c r="L91" s="326"/>
      <c r="M91" s="326"/>
      <c r="N91" s="326"/>
      <c r="O91" s="295"/>
      <c r="P91" s="244"/>
      <c r="Q91" s="244"/>
      <c r="R91" s="244"/>
      <c r="S91" s="244"/>
      <c r="T91" s="244"/>
      <c r="U91" s="244"/>
    </row>
    <row r="92" spans="1:21" ht="13.5" thickBot="1">
      <c r="A92" s="152"/>
      <c r="C92" s="557" t="s">
        <v>83</v>
      </c>
      <c r="D92" s="558" t="str">
        <f>+D9</f>
        <v>TP2009095</v>
      </c>
      <c r="E92" s="559"/>
      <c r="F92" s="559"/>
      <c r="G92" s="559"/>
      <c r="H92" s="559"/>
      <c r="I92" s="559"/>
      <c r="J92" s="559"/>
      <c r="K92" s="561"/>
      <c r="P92" s="469"/>
      <c r="Q92" s="244"/>
      <c r="R92" s="244"/>
      <c r="S92" s="244"/>
      <c r="T92" s="244"/>
      <c r="U92" s="244"/>
    </row>
    <row r="93" spans="1:21" ht="13">
      <c r="C93" s="473" t="s">
        <v>49</v>
      </c>
      <c r="D93" s="599">
        <f>D10</f>
        <v>28914236</v>
      </c>
      <c r="E93" s="249" t="s">
        <v>84</v>
      </c>
      <c r="H93" s="409"/>
      <c r="I93" s="409"/>
      <c r="J93" s="472">
        <f>+'OKT.WS.G.BPU.ATRR.True-up'!M16</f>
        <v>2023</v>
      </c>
      <c r="K93" s="468"/>
      <c r="L93" s="295" t="s">
        <v>85</v>
      </c>
      <c r="P93" s="279"/>
      <c r="Q93" s="244"/>
      <c r="R93" s="244"/>
      <c r="S93" s="244"/>
      <c r="T93" s="244"/>
      <c r="U93" s="244"/>
    </row>
    <row r="94" spans="1:21" ht="12.5">
      <c r="C94" s="473" t="s">
        <v>52</v>
      </c>
      <c r="D94" s="562">
        <f>D11</f>
        <v>2013</v>
      </c>
      <c r="E94" s="473" t="s">
        <v>53</v>
      </c>
      <c r="F94" s="409"/>
      <c r="G94" s="409"/>
      <c r="J94" s="475">
        <f>IF(H88="",0,'OKT.WS.G.BPU.ATRR.True-up'!$F$13)</f>
        <v>0</v>
      </c>
      <c r="K94" s="476"/>
      <c r="L94" s="145" t="str">
        <f>"          INPUT TRUE-UP ARR (WITH &amp; WITHOUT INCENTIVES) FROM EACH PRIOR YEAR"</f>
        <v xml:space="preserve">          INPUT TRUE-UP ARR (WITH &amp; WITHOUT INCENTIVES) FROM EACH PRIOR YEAR</v>
      </c>
      <c r="P94" s="279"/>
      <c r="Q94" s="244"/>
      <c r="R94" s="244"/>
      <c r="S94" s="244"/>
      <c r="T94" s="244"/>
      <c r="U94" s="244"/>
    </row>
    <row r="95" spans="1:21" ht="12.5">
      <c r="C95" s="473" t="s">
        <v>54</v>
      </c>
      <c r="D95" s="475">
        <f>D12</f>
        <v>8</v>
      </c>
      <c r="E95" s="473" t="s">
        <v>55</v>
      </c>
      <c r="F95" s="409"/>
      <c r="G95" s="409"/>
      <c r="J95" s="477">
        <f>'OKT.WS.G.BPU.ATRR.True-up'!$F$81</f>
        <v>0.10963416019310859</v>
      </c>
      <c r="K95" s="414"/>
      <c r="L95" s="145" t="s">
        <v>86</v>
      </c>
      <c r="P95" s="279"/>
      <c r="Q95" s="244"/>
      <c r="R95" s="244"/>
      <c r="S95" s="244"/>
      <c r="T95" s="244"/>
      <c r="U95" s="244"/>
    </row>
    <row r="96" spans="1:21" ht="12.5">
      <c r="C96" s="473" t="s">
        <v>57</v>
      </c>
      <c r="D96" s="475">
        <f>'OKT.WS.G.BPU.ATRR.True-up'!F$93</f>
        <v>19</v>
      </c>
      <c r="E96" s="473" t="s">
        <v>58</v>
      </c>
      <c r="F96" s="409"/>
      <c r="G96" s="409"/>
      <c r="J96" s="477">
        <f>IF(H88="",J95,'OKT.WS.G.BPU.ATRR.True-up'!$F$80)</f>
        <v>0.10963416019310859</v>
      </c>
      <c r="K96" s="292"/>
      <c r="L96" s="295" t="s">
        <v>59</v>
      </c>
      <c r="M96" s="292"/>
      <c r="N96" s="292"/>
      <c r="O96" s="292"/>
      <c r="P96" s="279"/>
      <c r="Q96" s="244"/>
      <c r="R96" s="244"/>
      <c r="S96" s="244"/>
      <c r="T96" s="244"/>
      <c r="U96" s="244"/>
    </row>
    <row r="97" spans="1:21" ht="13" thickBot="1">
      <c r="C97" s="473" t="s">
        <v>60</v>
      </c>
      <c r="D97" s="563" t="str">
        <f>+D14</f>
        <v>No</v>
      </c>
      <c r="E97" s="564" t="s">
        <v>62</v>
      </c>
      <c r="F97" s="565"/>
      <c r="G97" s="565"/>
      <c r="H97" s="566"/>
      <c r="I97" s="566"/>
      <c r="J97" s="459">
        <f>IF(D93=0,0,D93/D96)</f>
        <v>1521801.894736842</v>
      </c>
      <c r="K97" s="295"/>
      <c r="L97" s="295"/>
      <c r="M97" s="295"/>
      <c r="N97" s="295"/>
      <c r="O97" s="295"/>
      <c r="P97" s="279"/>
      <c r="Q97" s="244"/>
      <c r="R97" s="244"/>
      <c r="S97" s="244"/>
      <c r="T97" s="244"/>
      <c r="U97" s="244"/>
    </row>
    <row r="98" spans="1:21" ht="39">
      <c r="A98" s="382"/>
      <c r="B98" s="382"/>
      <c r="C98" s="567" t="s">
        <v>49</v>
      </c>
      <c r="D98" s="568" t="s">
        <v>193</v>
      </c>
      <c r="E98" s="486" t="s">
        <v>63</v>
      </c>
      <c r="F98" s="486" t="s">
        <v>64</v>
      </c>
      <c r="G98" s="481" t="s">
        <v>87</v>
      </c>
      <c r="H98" s="482" t="s">
        <v>251</v>
      </c>
      <c r="I98" s="483" t="s">
        <v>252</v>
      </c>
      <c r="J98" s="567" t="s">
        <v>88</v>
      </c>
      <c r="K98" s="569"/>
      <c r="L98" s="480" t="s">
        <v>177</v>
      </c>
      <c r="M98" s="486" t="s">
        <v>89</v>
      </c>
      <c r="N98" s="480" t="s">
        <v>177</v>
      </c>
      <c r="O98" s="486" t="s">
        <v>89</v>
      </c>
      <c r="P98" s="486" t="s">
        <v>67</v>
      </c>
      <c r="Q98" s="244"/>
      <c r="R98" s="244"/>
      <c r="S98" s="244"/>
      <c r="T98" s="244"/>
      <c r="U98" s="244"/>
    </row>
    <row r="99" spans="1:21" ht="13.5" thickBot="1">
      <c r="C99" s="487" t="s">
        <v>68</v>
      </c>
      <c r="D99" s="570" t="s">
        <v>69</v>
      </c>
      <c r="E99" s="487" t="s">
        <v>70</v>
      </c>
      <c r="F99" s="487" t="s">
        <v>69</v>
      </c>
      <c r="G99" s="487" t="s">
        <v>69</v>
      </c>
      <c r="H99" s="571" t="s">
        <v>71</v>
      </c>
      <c r="I99" s="490" t="s">
        <v>72</v>
      </c>
      <c r="J99" s="491" t="s">
        <v>93</v>
      </c>
      <c r="K99" s="492"/>
      <c r="L99" s="493" t="s">
        <v>74</v>
      </c>
      <c r="M99" s="493" t="s">
        <v>74</v>
      </c>
      <c r="N99" s="493" t="s">
        <v>94</v>
      </c>
      <c r="O99" s="493" t="s">
        <v>94</v>
      </c>
      <c r="P99" s="493" t="s">
        <v>94</v>
      </c>
      <c r="Q99" s="244"/>
      <c r="R99" s="244"/>
      <c r="S99" s="244"/>
      <c r="T99" s="244"/>
      <c r="U99" s="244"/>
    </row>
    <row r="100" spans="1:21" ht="12.5">
      <c r="B100" s="145" t="str">
        <f t="shared" ref="B100:B131" si="31">IF(D100=F99,"","IU")</f>
        <v>IU</v>
      </c>
      <c r="C100" s="496">
        <f>IF(D94= "","-",D94)</f>
        <v>2013</v>
      </c>
      <c r="D100" s="497">
        <v>0</v>
      </c>
      <c r="E100" s="499">
        <v>85919.706896551725</v>
      </c>
      <c r="F100" s="506">
        <v>9880766.293103449</v>
      </c>
      <c r="G100" s="572">
        <v>4940383.1465517245</v>
      </c>
      <c r="H100" s="572">
        <v>586624.79406989401</v>
      </c>
      <c r="I100" s="572">
        <v>586624.79406989401</v>
      </c>
      <c r="J100" s="505">
        <v>0</v>
      </c>
      <c r="K100" s="505"/>
      <c r="L100" s="502">
        <f t="shared" ref="L100:L105" si="32">H100</f>
        <v>586624.79406989401</v>
      </c>
      <c r="M100" s="504">
        <f t="shared" ref="M100:M105" si="33">IF(L100&lt;&gt;0,+H100-L100,0)</f>
        <v>0</v>
      </c>
      <c r="N100" s="502">
        <f t="shared" ref="N100:N105" si="34">I100</f>
        <v>586624.79406989401</v>
      </c>
      <c r="O100" s="504">
        <f>IF(N100&lt;&gt;0,+I100-N100,0)</f>
        <v>0</v>
      </c>
      <c r="P100" s="504">
        <f>+O100-M100</f>
        <v>0</v>
      </c>
      <c r="Q100" s="244"/>
      <c r="R100" s="244"/>
      <c r="S100" s="244"/>
      <c r="T100" s="244"/>
      <c r="U100" s="244"/>
    </row>
    <row r="101" spans="1:21" ht="12.5">
      <c r="B101" s="145" t="str">
        <f t="shared" si="31"/>
        <v>IU</v>
      </c>
      <c r="C101" s="496">
        <f>IF(D94="","-",+C100+1)</f>
        <v>2014</v>
      </c>
      <c r="D101" s="497">
        <v>28596480.293103449</v>
      </c>
      <c r="E101" s="499">
        <v>494524.13793103449</v>
      </c>
      <c r="F101" s="506">
        <v>28101956.155172415</v>
      </c>
      <c r="G101" s="506">
        <v>28349218.224137932</v>
      </c>
      <c r="H101" s="499">
        <v>3716695.0108773164</v>
      </c>
      <c r="I101" s="500">
        <v>3716695.0108773164</v>
      </c>
      <c r="J101" s="505">
        <v>0</v>
      </c>
      <c r="K101" s="505"/>
      <c r="L101" s="507">
        <f t="shared" si="32"/>
        <v>3716695.0108773164</v>
      </c>
      <c r="M101" s="505">
        <f t="shared" si="33"/>
        <v>0</v>
      </c>
      <c r="N101" s="507">
        <f t="shared" si="34"/>
        <v>3716695.0108773164</v>
      </c>
      <c r="O101" s="505">
        <f>IF(N101&lt;&gt;0,+I101-N101,0)</f>
        <v>0</v>
      </c>
      <c r="P101" s="505">
        <f>+O101-M101</f>
        <v>0</v>
      </c>
      <c r="Q101" s="244"/>
      <c r="R101" s="244"/>
      <c r="S101" s="244"/>
      <c r="T101" s="244"/>
      <c r="U101" s="244"/>
    </row>
    <row r="102" spans="1:21" ht="12.5">
      <c r="B102" s="145" t="str">
        <f t="shared" si="31"/>
        <v>IU</v>
      </c>
      <c r="C102" s="496">
        <f>IF(D94="","-",+C101+1)</f>
        <v>2015</v>
      </c>
      <c r="D102" s="497">
        <v>28333791.895172413</v>
      </c>
      <c r="E102" s="499">
        <v>602379.91125</v>
      </c>
      <c r="F102" s="506">
        <v>27731411.983922414</v>
      </c>
      <c r="G102" s="506">
        <v>28032601.939547412</v>
      </c>
      <c r="H102" s="499">
        <v>3723233.4671503431</v>
      </c>
      <c r="I102" s="500">
        <v>3723233.4671503431</v>
      </c>
      <c r="J102" s="505">
        <v>0</v>
      </c>
      <c r="K102" s="505"/>
      <c r="L102" s="507">
        <f t="shared" si="32"/>
        <v>3723233.4671503431</v>
      </c>
      <c r="M102" s="505">
        <f t="shared" si="33"/>
        <v>0</v>
      </c>
      <c r="N102" s="507">
        <f t="shared" si="34"/>
        <v>3723233.4671503431</v>
      </c>
      <c r="O102" s="505">
        <f t="shared" ref="O102:O131" si="35">IF(N102&lt;&gt;0,+I102-N102,0)</f>
        <v>0</v>
      </c>
      <c r="P102" s="505">
        <f t="shared" ref="P102:P131" si="36">+O102-M102</f>
        <v>0</v>
      </c>
      <c r="Q102" s="244"/>
      <c r="R102" s="244"/>
      <c r="S102" s="244"/>
      <c r="T102" s="244"/>
      <c r="U102" s="244"/>
    </row>
    <row r="103" spans="1:21" ht="12.5">
      <c r="B103" s="145" t="str">
        <f t="shared" si="31"/>
        <v/>
      </c>
      <c r="C103" s="496">
        <f>IF(D94="","-",+C102+1)</f>
        <v>2016</v>
      </c>
      <c r="D103" s="497">
        <v>27731411.983922414</v>
      </c>
      <c r="E103" s="499">
        <v>566945.79882352939</v>
      </c>
      <c r="F103" s="506">
        <v>27164466.185098886</v>
      </c>
      <c r="G103" s="506">
        <v>27447939.08451065</v>
      </c>
      <c r="H103" s="499">
        <v>3541464.1194634419</v>
      </c>
      <c r="I103" s="500">
        <v>3541464.1194634419</v>
      </c>
      <c r="J103" s="505">
        <f t="shared" ref="J103:J131" si="37">+I103-H103</f>
        <v>0</v>
      </c>
      <c r="K103" s="505"/>
      <c r="L103" s="507">
        <f t="shared" si="32"/>
        <v>3541464.1194634419</v>
      </c>
      <c r="M103" s="505">
        <f t="shared" si="33"/>
        <v>0</v>
      </c>
      <c r="N103" s="507">
        <f t="shared" si="34"/>
        <v>3541464.1194634419</v>
      </c>
      <c r="O103" s="505">
        <f>IF(N103&lt;&gt;0,+I103-N103,0)</f>
        <v>0</v>
      </c>
      <c r="P103" s="505">
        <f>+O103-M103</f>
        <v>0</v>
      </c>
      <c r="Q103" s="244"/>
      <c r="R103" s="244"/>
      <c r="S103" s="244"/>
      <c r="T103" s="244"/>
      <c r="U103" s="244"/>
    </row>
    <row r="104" spans="1:21" ht="12.5">
      <c r="B104" s="145" t="str">
        <f t="shared" si="31"/>
        <v/>
      </c>
      <c r="C104" s="496">
        <f>IF(D94="","-",+C103+1)</f>
        <v>2017</v>
      </c>
      <c r="D104" s="497">
        <v>27164466.185098886</v>
      </c>
      <c r="E104" s="499">
        <v>722855.89350000001</v>
      </c>
      <c r="F104" s="506">
        <v>26441610.291598886</v>
      </c>
      <c r="G104" s="506">
        <v>26803038.238348886</v>
      </c>
      <c r="H104" s="499">
        <v>3867813.548691513</v>
      </c>
      <c r="I104" s="500">
        <v>3867813.548691513</v>
      </c>
      <c r="J104" s="505">
        <f t="shared" si="37"/>
        <v>0</v>
      </c>
      <c r="K104" s="505"/>
      <c r="L104" s="507">
        <f t="shared" si="32"/>
        <v>3867813.548691513</v>
      </c>
      <c r="M104" s="505">
        <f t="shared" si="33"/>
        <v>0</v>
      </c>
      <c r="N104" s="507">
        <f t="shared" si="34"/>
        <v>3867813.548691513</v>
      </c>
      <c r="O104" s="505">
        <f>IF(N104&lt;&gt;0,+I104-N104,0)</f>
        <v>0</v>
      </c>
      <c r="P104" s="505">
        <f>+O104-M104</f>
        <v>0</v>
      </c>
      <c r="Q104" s="244"/>
      <c r="R104" s="244"/>
      <c r="S104" s="244"/>
      <c r="T104" s="244"/>
      <c r="U104" s="244"/>
    </row>
    <row r="105" spans="1:21" ht="12.5">
      <c r="B105" s="145" t="str">
        <f t="shared" si="31"/>
        <v/>
      </c>
      <c r="C105" s="496">
        <f>IF(D94="","-",+C104+1)</f>
        <v>2018</v>
      </c>
      <c r="D105" s="497">
        <v>26441610.291598886</v>
      </c>
      <c r="E105" s="499">
        <v>803173.21499999997</v>
      </c>
      <c r="F105" s="506">
        <v>25638437.076598886</v>
      </c>
      <c r="G105" s="506">
        <v>26040023.684098884</v>
      </c>
      <c r="H105" s="499">
        <v>3552021.8896915987</v>
      </c>
      <c r="I105" s="500">
        <v>3552021.8896915987</v>
      </c>
      <c r="J105" s="505">
        <f t="shared" si="37"/>
        <v>0</v>
      </c>
      <c r="K105" s="505"/>
      <c r="L105" s="507">
        <f t="shared" si="32"/>
        <v>3552021.8896915987</v>
      </c>
      <c r="M105" s="505">
        <f t="shared" si="33"/>
        <v>0</v>
      </c>
      <c r="N105" s="507">
        <f t="shared" si="34"/>
        <v>3552021.8896915987</v>
      </c>
      <c r="O105" s="505">
        <f>IF(N105&lt;&gt;0,+I105-N105,0)</f>
        <v>0</v>
      </c>
      <c r="P105" s="505">
        <f>+O105-M105</f>
        <v>0</v>
      </c>
      <c r="Q105" s="244"/>
      <c r="R105" s="244"/>
      <c r="S105" s="244"/>
      <c r="T105" s="244"/>
      <c r="U105" s="244"/>
    </row>
    <row r="106" spans="1:21" ht="12.5">
      <c r="B106" s="145" t="str">
        <f t="shared" si="31"/>
        <v/>
      </c>
      <c r="C106" s="496">
        <f>IF(D94="","-",+C105+1)</f>
        <v>2019</v>
      </c>
      <c r="D106" s="497">
        <v>25638437.076598886</v>
      </c>
      <c r="E106" s="499">
        <v>803173.21499999997</v>
      </c>
      <c r="F106" s="506">
        <v>24835263.861598887</v>
      </c>
      <c r="G106" s="506">
        <v>25236850.469098888</v>
      </c>
      <c r="H106" s="499">
        <v>3467236.9580654148</v>
      </c>
      <c r="I106" s="500">
        <v>3467236.9580654148</v>
      </c>
      <c r="J106" s="505">
        <f t="shared" si="37"/>
        <v>0</v>
      </c>
      <c r="K106" s="505"/>
      <c r="L106" s="507">
        <f t="shared" ref="L106" si="38">H106</f>
        <v>3467236.9580654148</v>
      </c>
      <c r="M106" s="505">
        <f t="shared" ref="M106" si="39">IF(L106&lt;&gt;0,+H106-L106,0)</f>
        <v>0</v>
      </c>
      <c r="N106" s="507">
        <f t="shared" ref="N106" si="40">I106</f>
        <v>3467236.9580654148</v>
      </c>
      <c r="O106" s="505">
        <f t="shared" si="35"/>
        <v>0</v>
      </c>
      <c r="P106" s="505">
        <f t="shared" si="36"/>
        <v>0</v>
      </c>
      <c r="Q106" s="244"/>
      <c r="R106" s="244"/>
      <c r="S106" s="244"/>
      <c r="T106" s="244"/>
      <c r="U106" s="244"/>
    </row>
    <row r="107" spans="1:21" ht="12.5">
      <c r="B107" s="145" t="str">
        <f t="shared" si="31"/>
        <v/>
      </c>
      <c r="C107" s="496">
        <f>IF(D94="","-",+C106+1)</f>
        <v>2020</v>
      </c>
      <c r="D107" s="497">
        <v>24835263.861598887</v>
      </c>
      <c r="E107" s="499">
        <v>1032651.2764285713</v>
      </c>
      <c r="F107" s="506">
        <v>23802612.585170314</v>
      </c>
      <c r="G107" s="506">
        <v>24318938.2233846</v>
      </c>
      <c r="H107" s="499">
        <v>3620514.584021511</v>
      </c>
      <c r="I107" s="500">
        <v>3620514.584021511</v>
      </c>
      <c r="J107" s="505">
        <f t="shared" si="37"/>
        <v>0</v>
      </c>
      <c r="K107" s="505"/>
      <c r="L107" s="507">
        <f t="shared" ref="L107" si="41">H107</f>
        <v>3620514.584021511</v>
      </c>
      <c r="M107" s="505">
        <f t="shared" ref="M107" si="42">IF(L107&lt;&gt;0,+H107-L107,0)</f>
        <v>0</v>
      </c>
      <c r="N107" s="507">
        <f t="shared" ref="N107" si="43">I107</f>
        <v>3620514.584021511</v>
      </c>
      <c r="O107" s="505">
        <f t="shared" si="35"/>
        <v>0</v>
      </c>
      <c r="P107" s="505">
        <f t="shared" si="36"/>
        <v>0</v>
      </c>
      <c r="Q107" s="244"/>
      <c r="R107" s="244"/>
      <c r="S107" s="244"/>
      <c r="T107" s="244"/>
      <c r="U107" s="244"/>
    </row>
    <row r="108" spans="1:21" ht="12.5">
      <c r="B108" s="145" t="str">
        <f t="shared" si="31"/>
        <v/>
      </c>
      <c r="C108" s="496">
        <f>IF(D94="","-",+C107+1)</f>
        <v>2021</v>
      </c>
      <c r="D108" s="497">
        <v>23802612.585170314</v>
      </c>
      <c r="E108" s="499">
        <v>1156569.4295999999</v>
      </c>
      <c r="F108" s="506">
        <v>22646043.155570313</v>
      </c>
      <c r="G108" s="506">
        <v>23224327.870370314</v>
      </c>
      <c r="H108" s="499">
        <v>3896157.8989285007</v>
      </c>
      <c r="I108" s="500">
        <v>3896157.8989285007</v>
      </c>
      <c r="J108" s="505">
        <f t="shared" si="37"/>
        <v>0</v>
      </c>
      <c r="K108" s="505"/>
      <c r="L108" s="507">
        <f t="shared" ref="L108" si="44">H108</f>
        <v>3896157.8989285007</v>
      </c>
      <c r="M108" s="505">
        <f t="shared" ref="M108" si="45">IF(L108&lt;&gt;0,+H108-L108,0)</f>
        <v>0</v>
      </c>
      <c r="N108" s="507">
        <f t="shared" ref="N108" si="46">I108</f>
        <v>3896157.8989285007</v>
      </c>
      <c r="O108" s="505">
        <f t="shared" si="35"/>
        <v>0</v>
      </c>
      <c r="P108" s="505">
        <f t="shared" si="36"/>
        <v>0</v>
      </c>
      <c r="Q108" s="244"/>
      <c r="R108" s="244"/>
      <c r="S108" s="244"/>
      <c r="T108" s="244"/>
      <c r="U108" s="244"/>
    </row>
    <row r="109" spans="1:21" ht="12.5">
      <c r="B109" s="145" t="str">
        <f t="shared" si="31"/>
        <v/>
      </c>
      <c r="C109" s="496">
        <f>IF(D94="","-",+C108+1)</f>
        <v>2022</v>
      </c>
      <c r="D109" s="497">
        <v>22646043.155570313</v>
      </c>
      <c r="E109" s="499">
        <v>1376868.3685714286</v>
      </c>
      <c r="F109" s="506">
        <v>21269174.786998883</v>
      </c>
      <c r="G109" s="506">
        <v>21957608.971284598</v>
      </c>
      <c r="H109" s="499">
        <v>3901247.1928159595</v>
      </c>
      <c r="I109" s="500">
        <v>3901247.1928159595</v>
      </c>
      <c r="J109" s="505">
        <f t="shared" si="37"/>
        <v>0</v>
      </c>
      <c r="K109" s="505"/>
      <c r="L109" s="507">
        <f t="shared" ref="L109" si="47">H109</f>
        <v>3901247.1928159595</v>
      </c>
      <c r="M109" s="505">
        <f t="shared" ref="M109" si="48">IF(L109&lt;&gt;0,+H109-L109,0)</f>
        <v>0</v>
      </c>
      <c r="N109" s="507">
        <f t="shared" ref="N109" si="49">I109</f>
        <v>3901247.1928159595</v>
      </c>
      <c r="O109" s="505">
        <f t="shared" ref="O109" si="50">IF(N109&lt;&gt;0,+I109-N109,0)</f>
        <v>0</v>
      </c>
      <c r="P109" s="505">
        <f t="shared" ref="P109" si="51">+O109-M109</f>
        <v>0</v>
      </c>
      <c r="Q109" s="244"/>
      <c r="R109" s="244"/>
      <c r="S109" s="244"/>
      <c r="T109" s="244"/>
      <c r="U109" s="244"/>
    </row>
    <row r="110" spans="1:21" ht="12.5">
      <c r="B110" s="145" t="str">
        <f t="shared" si="31"/>
        <v>IU</v>
      </c>
      <c r="C110" s="496">
        <f>IF(D94="","-",+C109+1)</f>
        <v>2023</v>
      </c>
      <c r="D110" s="350">
        <f>IF(F109+SUM(E$100:E109)=D$93,F109,D$93-SUM(E$100:E109))</f>
        <v>21269175.046998885</v>
      </c>
      <c r="E110" s="510">
        <f>IF(+J97&lt;F109,J97,D110)</f>
        <v>1521801.894736842</v>
      </c>
      <c r="F110" s="511">
        <f t="shared" ref="F110:F132" si="52">+D110-E110</f>
        <v>19747373.152262043</v>
      </c>
      <c r="G110" s="511">
        <f t="shared" ref="G110:G131" si="53">+(F110+D110)/2</f>
        <v>20508274.099630464</v>
      </c>
      <c r="H110" s="645">
        <f t="shared" ref="H110:H155" si="54">(D110+F110)/2*J$95+E110</f>
        <v>3770209.3026599083</v>
      </c>
      <c r="I110" s="573">
        <f t="shared" ref="I110:I131" si="55">+J$96*G110+E110</f>
        <v>3770209.3026599083</v>
      </c>
      <c r="J110" s="505">
        <f t="shared" si="37"/>
        <v>0</v>
      </c>
      <c r="K110" s="505"/>
      <c r="L110" s="513"/>
      <c r="M110" s="505">
        <f t="shared" ref="M110:M131" si="56">IF(L110&lt;&gt;0,+H110-L110,0)</f>
        <v>0</v>
      </c>
      <c r="N110" s="513"/>
      <c r="O110" s="505">
        <f t="shared" si="35"/>
        <v>0</v>
      </c>
      <c r="P110" s="505">
        <f t="shared" si="36"/>
        <v>0</v>
      </c>
      <c r="Q110" s="244"/>
      <c r="R110" s="244"/>
      <c r="S110" s="244"/>
      <c r="T110" s="244"/>
      <c r="U110" s="244"/>
    </row>
    <row r="111" spans="1:21" ht="12.5">
      <c r="B111" s="145" t="str">
        <f t="shared" si="31"/>
        <v/>
      </c>
      <c r="C111" s="496">
        <f>IF(D94="","-",+C110+1)</f>
        <v>2024</v>
      </c>
      <c r="D111" s="350">
        <f>IF(F110+SUM(E$100:E110)=D$93,F110,D$93-SUM(E$100:E110))</f>
        <v>19747373.152262043</v>
      </c>
      <c r="E111" s="510">
        <f>IF(+J97&lt;F110,J97,D111)</f>
        <v>1521801.894736842</v>
      </c>
      <c r="F111" s="511">
        <f t="shared" si="52"/>
        <v>18225571.257525202</v>
      </c>
      <c r="G111" s="511">
        <f t="shared" si="53"/>
        <v>18986472.204893623</v>
      </c>
      <c r="H111" s="645">
        <f t="shared" si="54"/>
        <v>3603367.8299501529</v>
      </c>
      <c r="I111" s="573">
        <f t="shared" si="55"/>
        <v>3603367.8299501529</v>
      </c>
      <c r="J111" s="505">
        <f t="shared" si="37"/>
        <v>0</v>
      </c>
      <c r="K111" s="505"/>
      <c r="L111" s="513"/>
      <c r="M111" s="505">
        <f t="shared" si="56"/>
        <v>0</v>
      </c>
      <c r="N111" s="513"/>
      <c r="O111" s="505">
        <f t="shared" si="35"/>
        <v>0</v>
      </c>
      <c r="P111" s="505">
        <f t="shared" si="36"/>
        <v>0</v>
      </c>
      <c r="Q111" s="244"/>
      <c r="R111" s="244"/>
      <c r="S111" s="244"/>
      <c r="T111" s="244"/>
      <c r="U111" s="244"/>
    </row>
    <row r="112" spans="1:21" ht="12.5">
      <c r="B112" s="145" t="str">
        <f t="shared" si="31"/>
        <v/>
      </c>
      <c r="C112" s="496">
        <f>IF(D94="","-",+C111+1)</f>
        <v>2025</v>
      </c>
      <c r="D112" s="350">
        <f>IF(F111+SUM(E$100:E111)=D$93,F111,D$93-SUM(E$100:E111))</f>
        <v>18225571.257525202</v>
      </c>
      <c r="E112" s="510">
        <f>IF(+J97&lt;F111,J97,D112)</f>
        <v>1521801.894736842</v>
      </c>
      <c r="F112" s="511">
        <f t="shared" si="52"/>
        <v>16703769.362788361</v>
      </c>
      <c r="G112" s="511">
        <f t="shared" si="53"/>
        <v>17464670.310156781</v>
      </c>
      <c r="H112" s="645">
        <f t="shared" si="54"/>
        <v>3436526.3572403984</v>
      </c>
      <c r="I112" s="573">
        <f t="shared" si="55"/>
        <v>3436526.3572403984</v>
      </c>
      <c r="J112" s="505">
        <f t="shared" si="37"/>
        <v>0</v>
      </c>
      <c r="K112" s="505"/>
      <c r="L112" s="513"/>
      <c r="M112" s="505">
        <f t="shared" si="56"/>
        <v>0</v>
      </c>
      <c r="N112" s="513"/>
      <c r="O112" s="505">
        <f t="shared" si="35"/>
        <v>0</v>
      </c>
      <c r="P112" s="505">
        <f t="shared" si="36"/>
        <v>0</v>
      </c>
      <c r="Q112" s="244"/>
      <c r="R112" s="244"/>
      <c r="S112" s="244"/>
      <c r="T112" s="244"/>
      <c r="U112" s="244"/>
    </row>
    <row r="113" spans="2:21" ht="12.5">
      <c r="B113" s="145" t="str">
        <f t="shared" si="31"/>
        <v/>
      </c>
      <c r="C113" s="496">
        <f>IF(D94="","-",+C112+1)</f>
        <v>2026</v>
      </c>
      <c r="D113" s="350">
        <f>IF(F112+SUM(E$100:E112)=D$93,F112,D$93-SUM(E$100:E112))</f>
        <v>16703769.362788361</v>
      </c>
      <c r="E113" s="510">
        <f>IF(+J97&lt;F112,J97,D113)</f>
        <v>1521801.894736842</v>
      </c>
      <c r="F113" s="511">
        <f t="shared" si="52"/>
        <v>15181967.468051519</v>
      </c>
      <c r="G113" s="511">
        <f t="shared" si="53"/>
        <v>15942868.41541994</v>
      </c>
      <c r="H113" s="645">
        <f t="shared" si="54"/>
        <v>3269684.884530643</v>
      </c>
      <c r="I113" s="573">
        <f t="shared" si="55"/>
        <v>3269684.884530643</v>
      </c>
      <c r="J113" s="505">
        <f t="shared" si="37"/>
        <v>0</v>
      </c>
      <c r="K113" s="505"/>
      <c r="L113" s="513"/>
      <c r="M113" s="505">
        <f t="shared" si="56"/>
        <v>0</v>
      </c>
      <c r="N113" s="513"/>
      <c r="O113" s="505">
        <f t="shared" si="35"/>
        <v>0</v>
      </c>
      <c r="P113" s="505">
        <f t="shared" si="36"/>
        <v>0</v>
      </c>
      <c r="Q113" s="244"/>
      <c r="R113" s="244"/>
      <c r="S113" s="244"/>
      <c r="T113" s="244"/>
      <c r="U113" s="244"/>
    </row>
    <row r="114" spans="2:21" ht="12.5">
      <c r="B114" s="145" t="str">
        <f t="shared" si="31"/>
        <v/>
      </c>
      <c r="C114" s="496">
        <f>IF(D94="","-",+C113+1)</f>
        <v>2027</v>
      </c>
      <c r="D114" s="350">
        <f>IF(F113+SUM(E$100:E113)=D$93,F113,D$93-SUM(E$100:E113))</f>
        <v>15181967.468051519</v>
      </c>
      <c r="E114" s="510">
        <f>IF(+J97&lt;F113,J97,D114)</f>
        <v>1521801.894736842</v>
      </c>
      <c r="F114" s="511">
        <f t="shared" si="52"/>
        <v>13660165.573314678</v>
      </c>
      <c r="G114" s="511">
        <f t="shared" si="53"/>
        <v>14421066.520683099</v>
      </c>
      <c r="H114" s="645">
        <f t="shared" si="54"/>
        <v>3102843.4118208881</v>
      </c>
      <c r="I114" s="573">
        <f t="shared" si="55"/>
        <v>3102843.4118208881</v>
      </c>
      <c r="J114" s="505">
        <f t="shared" si="37"/>
        <v>0</v>
      </c>
      <c r="K114" s="505"/>
      <c r="L114" s="513"/>
      <c r="M114" s="505">
        <f t="shared" si="56"/>
        <v>0</v>
      </c>
      <c r="N114" s="513"/>
      <c r="O114" s="505">
        <f t="shared" si="35"/>
        <v>0</v>
      </c>
      <c r="P114" s="505">
        <f t="shared" si="36"/>
        <v>0</v>
      </c>
      <c r="Q114" s="244"/>
      <c r="R114" s="244"/>
      <c r="S114" s="244"/>
      <c r="T114" s="244"/>
      <c r="U114" s="244"/>
    </row>
    <row r="115" spans="2:21" ht="12.5">
      <c r="B115" s="145" t="str">
        <f t="shared" si="31"/>
        <v/>
      </c>
      <c r="C115" s="496">
        <f>IF(D94="","-",+C114+1)</f>
        <v>2028</v>
      </c>
      <c r="D115" s="350">
        <f>IF(F114+SUM(E$100:E114)=D$93,F114,D$93-SUM(E$100:E114))</f>
        <v>13660165.573314678</v>
      </c>
      <c r="E115" s="510">
        <f>IF(+J97&lt;F114,J97,D115)</f>
        <v>1521801.894736842</v>
      </c>
      <c r="F115" s="511">
        <f t="shared" si="52"/>
        <v>12138363.678577837</v>
      </c>
      <c r="G115" s="511">
        <f t="shared" si="53"/>
        <v>12899264.625946257</v>
      </c>
      <c r="H115" s="645">
        <f t="shared" si="54"/>
        <v>2936001.9391111331</v>
      </c>
      <c r="I115" s="573">
        <f t="shared" si="55"/>
        <v>2936001.9391111331</v>
      </c>
      <c r="J115" s="505">
        <f t="shared" si="37"/>
        <v>0</v>
      </c>
      <c r="K115" s="505"/>
      <c r="L115" s="513"/>
      <c r="M115" s="505">
        <f t="shared" si="56"/>
        <v>0</v>
      </c>
      <c r="N115" s="513"/>
      <c r="O115" s="505">
        <f t="shared" si="35"/>
        <v>0</v>
      </c>
      <c r="P115" s="505">
        <f t="shared" si="36"/>
        <v>0</v>
      </c>
      <c r="Q115" s="244"/>
      <c r="R115" s="244"/>
      <c r="S115" s="244"/>
      <c r="T115" s="244"/>
      <c r="U115" s="244"/>
    </row>
    <row r="116" spans="2:21" ht="12.5">
      <c r="B116" s="145" t="str">
        <f t="shared" si="31"/>
        <v/>
      </c>
      <c r="C116" s="496">
        <f>IF(D94="","-",+C115+1)</f>
        <v>2029</v>
      </c>
      <c r="D116" s="350">
        <f>IF(F115+SUM(E$100:E115)=D$93,F115,D$93-SUM(E$100:E115))</f>
        <v>12138363.678577837</v>
      </c>
      <c r="E116" s="510">
        <f>IF(+J97&lt;F115,J97,D116)</f>
        <v>1521801.894736842</v>
      </c>
      <c r="F116" s="511">
        <f t="shared" si="52"/>
        <v>10616561.783840995</v>
      </c>
      <c r="G116" s="511">
        <f t="shared" si="53"/>
        <v>11377462.731209416</v>
      </c>
      <c r="H116" s="645">
        <f t="shared" si="54"/>
        <v>2769160.4664013777</v>
      </c>
      <c r="I116" s="573">
        <f t="shared" si="55"/>
        <v>2769160.4664013777</v>
      </c>
      <c r="J116" s="505">
        <f t="shared" si="37"/>
        <v>0</v>
      </c>
      <c r="K116" s="505"/>
      <c r="L116" s="513"/>
      <c r="M116" s="505">
        <f t="shared" si="56"/>
        <v>0</v>
      </c>
      <c r="N116" s="513"/>
      <c r="O116" s="505">
        <f t="shared" si="35"/>
        <v>0</v>
      </c>
      <c r="P116" s="505">
        <f t="shared" si="36"/>
        <v>0</v>
      </c>
      <c r="Q116" s="244"/>
      <c r="R116" s="244"/>
      <c r="S116" s="244"/>
      <c r="T116" s="244"/>
      <c r="U116" s="244"/>
    </row>
    <row r="117" spans="2:21" ht="12.5">
      <c r="B117" s="145" t="str">
        <f t="shared" si="31"/>
        <v/>
      </c>
      <c r="C117" s="496">
        <f>IF(D94="","-",+C116+1)</f>
        <v>2030</v>
      </c>
      <c r="D117" s="350">
        <f>IF(F116+SUM(E$100:E116)=D$93,F116,D$93-SUM(E$100:E116))</f>
        <v>10616561.783840995</v>
      </c>
      <c r="E117" s="510">
        <f>IF(+J97&lt;F116,J97,D117)</f>
        <v>1521801.894736842</v>
      </c>
      <c r="F117" s="511">
        <f t="shared" si="52"/>
        <v>9094759.889104154</v>
      </c>
      <c r="G117" s="511">
        <f t="shared" si="53"/>
        <v>9855660.8364725746</v>
      </c>
      <c r="H117" s="645">
        <f t="shared" si="54"/>
        <v>2602318.9936916232</v>
      </c>
      <c r="I117" s="573">
        <f t="shared" si="55"/>
        <v>2602318.9936916232</v>
      </c>
      <c r="J117" s="505">
        <f t="shared" si="37"/>
        <v>0</v>
      </c>
      <c r="K117" s="505"/>
      <c r="L117" s="513"/>
      <c r="M117" s="505">
        <f t="shared" si="56"/>
        <v>0</v>
      </c>
      <c r="N117" s="513"/>
      <c r="O117" s="505">
        <f t="shared" si="35"/>
        <v>0</v>
      </c>
      <c r="P117" s="505">
        <f t="shared" si="36"/>
        <v>0</v>
      </c>
      <c r="Q117" s="244"/>
      <c r="R117" s="244"/>
      <c r="S117" s="244"/>
      <c r="T117" s="244"/>
      <c r="U117" s="244"/>
    </row>
    <row r="118" spans="2:21" ht="12.5">
      <c r="B118" s="145" t="str">
        <f t="shared" si="31"/>
        <v/>
      </c>
      <c r="C118" s="496">
        <f>IF(D94="","-",+C117+1)</f>
        <v>2031</v>
      </c>
      <c r="D118" s="350">
        <f>IF(F117+SUM(E$100:E117)=D$93,F117,D$93-SUM(E$100:E117))</f>
        <v>9094759.889104154</v>
      </c>
      <c r="E118" s="510">
        <f>IF(+J97&lt;F117,J97,D118)</f>
        <v>1521801.894736842</v>
      </c>
      <c r="F118" s="511">
        <f t="shared" si="52"/>
        <v>7572957.9943673117</v>
      </c>
      <c r="G118" s="511">
        <f t="shared" si="53"/>
        <v>8333858.9417357333</v>
      </c>
      <c r="H118" s="645">
        <f t="shared" si="54"/>
        <v>2435477.5209818678</v>
      </c>
      <c r="I118" s="573">
        <f t="shared" si="55"/>
        <v>2435477.5209818678</v>
      </c>
      <c r="J118" s="505">
        <f t="shared" si="37"/>
        <v>0</v>
      </c>
      <c r="K118" s="505"/>
      <c r="L118" s="513"/>
      <c r="M118" s="505">
        <f t="shared" si="56"/>
        <v>0</v>
      </c>
      <c r="N118" s="513"/>
      <c r="O118" s="505">
        <f t="shared" si="35"/>
        <v>0</v>
      </c>
      <c r="P118" s="505">
        <f t="shared" si="36"/>
        <v>0</v>
      </c>
      <c r="Q118" s="244"/>
      <c r="R118" s="244"/>
      <c r="S118" s="244"/>
      <c r="T118" s="244"/>
      <c r="U118" s="244"/>
    </row>
    <row r="119" spans="2:21" ht="12.5">
      <c r="B119" s="145" t="str">
        <f t="shared" si="31"/>
        <v/>
      </c>
      <c r="C119" s="496">
        <f>IF(D94="","-",+C118+1)</f>
        <v>2032</v>
      </c>
      <c r="D119" s="350">
        <f>IF(F118+SUM(E$100:E118)=D$93,F118,D$93-SUM(E$100:E118))</f>
        <v>7572957.9943673117</v>
      </c>
      <c r="E119" s="510">
        <f>IF(+J97&lt;F118,J97,D119)</f>
        <v>1521801.894736842</v>
      </c>
      <c r="F119" s="511">
        <f t="shared" si="52"/>
        <v>6051156.0996304695</v>
      </c>
      <c r="G119" s="511">
        <f t="shared" si="53"/>
        <v>6812057.0469988901</v>
      </c>
      <c r="H119" s="645">
        <f t="shared" si="54"/>
        <v>2268636.0482721124</v>
      </c>
      <c r="I119" s="573">
        <f t="shared" si="55"/>
        <v>2268636.0482721124</v>
      </c>
      <c r="J119" s="505">
        <f t="shared" si="37"/>
        <v>0</v>
      </c>
      <c r="K119" s="505"/>
      <c r="L119" s="513"/>
      <c r="M119" s="505">
        <f t="shared" si="56"/>
        <v>0</v>
      </c>
      <c r="N119" s="513"/>
      <c r="O119" s="505">
        <f t="shared" si="35"/>
        <v>0</v>
      </c>
      <c r="P119" s="505">
        <f t="shared" si="36"/>
        <v>0</v>
      </c>
      <c r="Q119" s="244"/>
      <c r="R119" s="244"/>
      <c r="S119" s="244"/>
      <c r="T119" s="244"/>
      <c r="U119" s="244"/>
    </row>
    <row r="120" spans="2:21" ht="12.5">
      <c r="B120" s="145" t="str">
        <f t="shared" si="31"/>
        <v/>
      </c>
      <c r="C120" s="496">
        <f>IF(D94="","-",+C119+1)</f>
        <v>2033</v>
      </c>
      <c r="D120" s="350">
        <f>IF(F119+SUM(E$100:E119)=D$93,F119,D$93-SUM(E$100:E119))</f>
        <v>6051156.0996304695</v>
      </c>
      <c r="E120" s="510">
        <f>IF(+J97&lt;F119,J97,D120)</f>
        <v>1521801.894736842</v>
      </c>
      <c r="F120" s="511">
        <f t="shared" si="52"/>
        <v>4529354.2048936272</v>
      </c>
      <c r="G120" s="511">
        <f t="shared" si="53"/>
        <v>5290255.1522620488</v>
      </c>
      <c r="H120" s="645">
        <f t="shared" si="54"/>
        <v>2101794.5755623574</v>
      </c>
      <c r="I120" s="573">
        <f t="shared" si="55"/>
        <v>2101794.5755623574</v>
      </c>
      <c r="J120" s="505">
        <f t="shared" si="37"/>
        <v>0</v>
      </c>
      <c r="K120" s="505"/>
      <c r="L120" s="513"/>
      <c r="M120" s="505">
        <f t="shared" si="56"/>
        <v>0</v>
      </c>
      <c r="N120" s="513"/>
      <c r="O120" s="505">
        <f t="shared" si="35"/>
        <v>0</v>
      </c>
      <c r="P120" s="505">
        <f t="shared" si="36"/>
        <v>0</v>
      </c>
      <c r="Q120" s="244"/>
      <c r="R120" s="244"/>
      <c r="S120" s="244"/>
      <c r="T120" s="244"/>
      <c r="U120" s="244"/>
    </row>
    <row r="121" spans="2:21" ht="12.5">
      <c r="B121" s="145" t="str">
        <f t="shared" si="31"/>
        <v/>
      </c>
      <c r="C121" s="496">
        <f>IF(D94="","-",+C120+1)</f>
        <v>2034</v>
      </c>
      <c r="D121" s="350">
        <f>IF(F120+SUM(E$100:E120)=D$93,F120,D$93-SUM(E$100:E120))</f>
        <v>4529354.2048936272</v>
      </c>
      <c r="E121" s="510">
        <f>IF(+J97&lt;F120,J97,D121)</f>
        <v>1521801.894736842</v>
      </c>
      <c r="F121" s="511">
        <f t="shared" si="52"/>
        <v>3007552.310156785</v>
      </c>
      <c r="G121" s="511">
        <f t="shared" si="53"/>
        <v>3768453.2575252061</v>
      </c>
      <c r="H121" s="645">
        <f t="shared" si="54"/>
        <v>1934953.1028526025</v>
      </c>
      <c r="I121" s="573">
        <f t="shared" si="55"/>
        <v>1934953.1028526025</v>
      </c>
      <c r="J121" s="505">
        <f t="shared" si="37"/>
        <v>0</v>
      </c>
      <c r="K121" s="505"/>
      <c r="L121" s="513"/>
      <c r="M121" s="505">
        <f t="shared" si="56"/>
        <v>0</v>
      </c>
      <c r="N121" s="513"/>
      <c r="O121" s="505">
        <f t="shared" si="35"/>
        <v>0</v>
      </c>
      <c r="P121" s="505">
        <f t="shared" si="36"/>
        <v>0</v>
      </c>
      <c r="Q121" s="244"/>
      <c r="R121" s="244"/>
      <c r="S121" s="244"/>
      <c r="T121" s="244"/>
      <c r="U121" s="244"/>
    </row>
    <row r="122" spans="2:21" ht="12.5">
      <c r="B122" s="145" t="str">
        <f t="shared" si="31"/>
        <v/>
      </c>
      <c r="C122" s="496">
        <f>IF(D94="","-",+C121+1)</f>
        <v>2035</v>
      </c>
      <c r="D122" s="350">
        <f>IF(F121+SUM(E$100:E121)=D$93,F121,D$93-SUM(E$100:E121))</f>
        <v>3007552.310156785</v>
      </c>
      <c r="E122" s="510">
        <f>IF(+J97&lt;F121,J97,D122)</f>
        <v>1521801.894736842</v>
      </c>
      <c r="F122" s="511">
        <f t="shared" si="52"/>
        <v>1485750.4154199429</v>
      </c>
      <c r="G122" s="511">
        <f t="shared" si="53"/>
        <v>2246651.3627883638</v>
      </c>
      <c r="H122" s="645">
        <f t="shared" si="54"/>
        <v>1768111.6301428473</v>
      </c>
      <c r="I122" s="573">
        <f t="shared" si="55"/>
        <v>1768111.6301428473</v>
      </c>
      <c r="J122" s="505">
        <f t="shared" si="37"/>
        <v>0</v>
      </c>
      <c r="K122" s="505"/>
      <c r="L122" s="513"/>
      <c r="M122" s="505">
        <f t="shared" si="56"/>
        <v>0</v>
      </c>
      <c r="N122" s="513"/>
      <c r="O122" s="505">
        <f t="shared" si="35"/>
        <v>0</v>
      </c>
      <c r="P122" s="505">
        <f t="shared" si="36"/>
        <v>0</v>
      </c>
      <c r="Q122" s="244"/>
      <c r="R122" s="244"/>
      <c r="S122" s="244"/>
      <c r="T122" s="244"/>
      <c r="U122" s="244"/>
    </row>
    <row r="123" spans="2:21" ht="12.5">
      <c r="B123" s="145" t="str">
        <f t="shared" si="31"/>
        <v/>
      </c>
      <c r="C123" s="496">
        <f>IF(D94="","-",+C122+1)</f>
        <v>2036</v>
      </c>
      <c r="D123" s="350">
        <f>IF(F122+SUM(E$100:E122)=D$93,F122,D$93-SUM(E$100:E122))</f>
        <v>1485750.4154199429</v>
      </c>
      <c r="E123" s="510">
        <f>IF(+J97&lt;F122,J97,D123)</f>
        <v>1485750.4154199429</v>
      </c>
      <c r="F123" s="511">
        <f t="shared" si="52"/>
        <v>0</v>
      </c>
      <c r="G123" s="511">
        <f t="shared" si="53"/>
        <v>742875.20770997147</v>
      </c>
      <c r="H123" s="645">
        <f t="shared" si="54"/>
        <v>1567194.9149455067</v>
      </c>
      <c r="I123" s="573">
        <f t="shared" si="55"/>
        <v>1567194.9149455067</v>
      </c>
      <c r="J123" s="505">
        <f t="shared" si="37"/>
        <v>0</v>
      </c>
      <c r="K123" s="505"/>
      <c r="L123" s="513"/>
      <c r="M123" s="505">
        <f t="shared" si="56"/>
        <v>0</v>
      </c>
      <c r="N123" s="513"/>
      <c r="O123" s="505">
        <f t="shared" si="35"/>
        <v>0</v>
      </c>
      <c r="P123" s="505">
        <f t="shared" si="36"/>
        <v>0</v>
      </c>
      <c r="Q123" s="244"/>
      <c r="R123" s="244"/>
      <c r="S123" s="244"/>
      <c r="T123" s="244"/>
      <c r="U123" s="244"/>
    </row>
    <row r="124" spans="2:21" ht="12.5">
      <c r="B124" s="145" t="str">
        <f t="shared" si="31"/>
        <v/>
      </c>
      <c r="C124" s="496">
        <f>IF(D94="","-",+C123+1)</f>
        <v>2037</v>
      </c>
      <c r="D124" s="350">
        <f>IF(F123+SUM(E$100:E123)=D$93,F123,D$93-SUM(E$100:E123))</f>
        <v>0</v>
      </c>
      <c r="E124" s="510">
        <f>IF(+J97&lt;F123,J97,D124)</f>
        <v>0</v>
      </c>
      <c r="F124" s="511">
        <f t="shared" si="52"/>
        <v>0</v>
      </c>
      <c r="G124" s="511">
        <f t="shared" si="53"/>
        <v>0</v>
      </c>
      <c r="H124" s="645">
        <f t="shared" si="54"/>
        <v>0</v>
      </c>
      <c r="I124" s="573">
        <f t="shared" si="55"/>
        <v>0</v>
      </c>
      <c r="J124" s="505">
        <f t="shared" si="37"/>
        <v>0</v>
      </c>
      <c r="K124" s="505"/>
      <c r="L124" s="513"/>
      <c r="M124" s="505">
        <f t="shared" si="56"/>
        <v>0</v>
      </c>
      <c r="N124" s="513"/>
      <c r="O124" s="505">
        <f t="shared" si="35"/>
        <v>0</v>
      </c>
      <c r="P124" s="505">
        <f t="shared" si="36"/>
        <v>0</v>
      </c>
      <c r="Q124" s="244"/>
      <c r="R124" s="244"/>
      <c r="S124" s="244"/>
      <c r="T124" s="244"/>
      <c r="U124" s="244"/>
    </row>
    <row r="125" spans="2:21" ht="12.5">
      <c r="B125" s="145" t="str">
        <f t="shared" si="31"/>
        <v/>
      </c>
      <c r="C125" s="496">
        <f>IF(D94="","-",+C124+1)</f>
        <v>2038</v>
      </c>
      <c r="D125" s="350">
        <f>IF(F124+SUM(E$100:E124)=D$93,F124,D$93-SUM(E$100:E124))</f>
        <v>0</v>
      </c>
      <c r="E125" s="510">
        <f>IF(+J97&lt;F124,J97,D125)</f>
        <v>0</v>
      </c>
      <c r="F125" s="511">
        <f t="shared" si="52"/>
        <v>0</v>
      </c>
      <c r="G125" s="511">
        <f t="shared" si="53"/>
        <v>0</v>
      </c>
      <c r="H125" s="645">
        <f t="shared" si="54"/>
        <v>0</v>
      </c>
      <c r="I125" s="573">
        <f t="shared" si="55"/>
        <v>0</v>
      </c>
      <c r="J125" s="505">
        <f t="shared" si="37"/>
        <v>0</v>
      </c>
      <c r="K125" s="505"/>
      <c r="L125" s="513"/>
      <c r="M125" s="505">
        <f t="shared" si="56"/>
        <v>0</v>
      </c>
      <c r="N125" s="513"/>
      <c r="O125" s="505">
        <f t="shared" si="35"/>
        <v>0</v>
      </c>
      <c r="P125" s="505">
        <f t="shared" si="36"/>
        <v>0</v>
      </c>
      <c r="Q125" s="244"/>
      <c r="R125" s="244"/>
      <c r="S125" s="244"/>
      <c r="T125" s="244"/>
      <c r="U125" s="244"/>
    </row>
    <row r="126" spans="2:21" ht="12.5">
      <c r="B126" s="145" t="str">
        <f t="shared" si="31"/>
        <v/>
      </c>
      <c r="C126" s="496">
        <f>IF(D94="","-",+C125+1)</f>
        <v>2039</v>
      </c>
      <c r="D126" s="350">
        <f>IF(F125+SUM(E$100:E125)=D$93,F125,D$93-SUM(E$100:E125))</f>
        <v>0</v>
      </c>
      <c r="E126" s="510">
        <f>IF(+J97&lt;F125,J97,D126)</f>
        <v>0</v>
      </c>
      <c r="F126" s="511">
        <f t="shared" si="52"/>
        <v>0</v>
      </c>
      <c r="G126" s="511">
        <f t="shared" si="53"/>
        <v>0</v>
      </c>
      <c r="H126" s="645">
        <f t="shared" si="54"/>
        <v>0</v>
      </c>
      <c r="I126" s="573">
        <f t="shared" si="55"/>
        <v>0</v>
      </c>
      <c r="J126" s="505">
        <f t="shared" si="37"/>
        <v>0</v>
      </c>
      <c r="K126" s="505"/>
      <c r="L126" s="513"/>
      <c r="M126" s="505">
        <f t="shared" si="56"/>
        <v>0</v>
      </c>
      <c r="N126" s="513"/>
      <c r="O126" s="505">
        <f t="shared" si="35"/>
        <v>0</v>
      </c>
      <c r="P126" s="505">
        <f t="shared" si="36"/>
        <v>0</v>
      </c>
      <c r="Q126" s="244"/>
      <c r="R126" s="244"/>
      <c r="S126" s="244"/>
      <c r="T126" s="244"/>
      <c r="U126" s="244"/>
    </row>
    <row r="127" spans="2:21" ht="12.5">
      <c r="B127" s="145" t="str">
        <f t="shared" si="31"/>
        <v/>
      </c>
      <c r="C127" s="496">
        <f>IF(D94="","-",+C126+1)</f>
        <v>2040</v>
      </c>
      <c r="D127" s="350">
        <f>IF(F126+SUM(E$100:E126)=D$93,F126,D$93-SUM(E$100:E126))</f>
        <v>0</v>
      </c>
      <c r="E127" s="510">
        <f>IF(+J97&lt;F126,J97,D127)</f>
        <v>0</v>
      </c>
      <c r="F127" s="511">
        <f t="shared" si="52"/>
        <v>0</v>
      </c>
      <c r="G127" s="511">
        <f t="shared" si="53"/>
        <v>0</v>
      </c>
      <c r="H127" s="645">
        <f t="shared" si="54"/>
        <v>0</v>
      </c>
      <c r="I127" s="573">
        <f t="shared" si="55"/>
        <v>0</v>
      </c>
      <c r="J127" s="505">
        <f t="shared" si="37"/>
        <v>0</v>
      </c>
      <c r="K127" s="505"/>
      <c r="L127" s="513"/>
      <c r="M127" s="505">
        <f t="shared" si="56"/>
        <v>0</v>
      </c>
      <c r="N127" s="513"/>
      <c r="O127" s="505">
        <f t="shared" si="35"/>
        <v>0</v>
      </c>
      <c r="P127" s="505">
        <f t="shared" si="36"/>
        <v>0</v>
      </c>
      <c r="Q127" s="244"/>
      <c r="R127" s="244"/>
      <c r="S127" s="244"/>
      <c r="T127" s="244"/>
      <c r="U127" s="244"/>
    </row>
    <row r="128" spans="2:21" ht="12.5">
      <c r="B128" s="145" t="str">
        <f t="shared" si="31"/>
        <v/>
      </c>
      <c r="C128" s="496">
        <f>IF(D94="","-",+C127+1)</f>
        <v>2041</v>
      </c>
      <c r="D128" s="350">
        <f>IF(F127+SUM(E$100:E127)=D$93,F127,D$93-SUM(E$100:E127))</f>
        <v>0</v>
      </c>
      <c r="E128" s="510">
        <f>IF(+J97&lt;F127,J97,D128)</f>
        <v>0</v>
      </c>
      <c r="F128" s="511">
        <f t="shared" si="52"/>
        <v>0</v>
      </c>
      <c r="G128" s="511">
        <f t="shared" si="53"/>
        <v>0</v>
      </c>
      <c r="H128" s="645">
        <f t="shared" si="54"/>
        <v>0</v>
      </c>
      <c r="I128" s="573">
        <f t="shared" si="55"/>
        <v>0</v>
      </c>
      <c r="J128" s="505">
        <f t="shared" si="37"/>
        <v>0</v>
      </c>
      <c r="K128" s="505"/>
      <c r="L128" s="513"/>
      <c r="M128" s="505">
        <f t="shared" si="56"/>
        <v>0</v>
      </c>
      <c r="N128" s="513"/>
      <c r="O128" s="505">
        <f t="shared" si="35"/>
        <v>0</v>
      </c>
      <c r="P128" s="505">
        <f t="shared" si="36"/>
        <v>0</v>
      </c>
      <c r="Q128" s="244"/>
      <c r="R128" s="244"/>
      <c r="S128" s="244"/>
      <c r="T128" s="244"/>
      <c r="U128" s="244"/>
    </row>
    <row r="129" spans="2:21" ht="12.5">
      <c r="B129" s="145" t="str">
        <f t="shared" si="31"/>
        <v/>
      </c>
      <c r="C129" s="496">
        <f>IF(D94="","-",+C128+1)</f>
        <v>2042</v>
      </c>
      <c r="D129" s="350">
        <f>IF(F128+SUM(E$100:E128)=D$93,F128,D$93-SUM(E$100:E128))</f>
        <v>0</v>
      </c>
      <c r="E129" s="510">
        <f>IF(+J97&lt;F128,J97,D129)</f>
        <v>0</v>
      </c>
      <c r="F129" s="511">
        <f t="shared" si="52"/>
        <v>0</v>
      </c>
      <c r="G129" s="511">
        <f t="shared" si="53"/>
        <v>0</v>
      </c>
      <c r="H129" s="645">
        <f t="shared" si="54"/>
        <v>0</v>
      </c>
      <c r="I129" s="573">
        <f t="shared" si="55"/>
        <v>0</v>
      </c>
      <c r="J129" s="505">
        <f t="shared" si="37"/>
        <v>0</v>
      </c>
      <c r="K129" s="505"/>
      <c r="L129" s="513"/>
      <c r="M129" s="505">
        <f t="shared" si="56"/>
        <v>0</v>
      </c>
      <c r="N129" s="513"/>
      <c r="O129" s="505">
        <f t="shared" si="35"/>
        <v>0</v>
      </c>
      <c r="P129" s="505">
        <f t="shared" si="36"/>
        <v>0</v>
      </c>
      <c r="Q129" s="244"/>
      <c r="R129" s="244"/>
      <c r="S129" s="244"/>
      <c r="T129" s="244"/>
      <c r="U129" s="244"/>
    </row>
    <row r="130" spans="2:21" ht="12.5">
      <c r="B130" s="145" t="str">
        <f t="shared" si="31"/>
        <v/>
      </c>
      <c r="C130" s="496">
        <f>IF(D94="","-",+C129+1)</f>
        <v>2043</v>
      </c>
      <c r="D130" s="350">
        <f>IF(F129+SUM(E$100:E129)=D$93,F129,D$93-SUM(E$100:E129))</f>
        <v>0</v>
      </c>
      <c r="E130" s="510">
        <f>IF(+J97&lt;F129,J97,D130)</f>
        <v>0</v>
      </c>
      <c r="F130" s="511">
        <f t="shared" si="52"/>
        <v>0</v>
      </c>
      <c r="G130" s="511">
        <f t="shared" si="53"/>
        <v>0</v>
      </c>
      <c r="H130" s="645">
        <f t="shared" si="54"/>
        <v>0</v>
      </c>
      <c r="I130" s="573">
        <f t="shared" si="55"/>
        <v>0</v>
      </c>
      <c r="J130" s="505">
        <f t="shared" si="37"/>
        <v>0</v>
      </c>
      <c r="K130" s="505"/>
      <c r="L130" s="513"/>
      <c r="M130" s="505">
        <f t="shared" si="56"/>
        <v>0</v>
      </c>
      <c r="N130" s="513"/>
      <c r="O130" s="505">
        <f t="shared" si="35"/>
        <v>0</v>
      </c>
      <c r="P130" s="505">
        <f t="shared" si="36"/>
        <v>0</v>
      </c>
      <c r="Q130" s="244"/>
      <c r="R130" s="244"/>
      <c r="S130" s="244"/>
      <c r="T130" s="244"/>
      <c r="U130" s="244"/>
    </row>
    <row r="131" spans="2:21" ht="12.5">
      <c r="B131" s="145" t="str">
        <f t="shared" si="31"/>
        <v/>
      </c>
      <c r="C131" s="496">
        <f>IF(D94="","-",+C130+1)</f>
        <v>2044</v>
      </c>
      <c r="D131" s="350">
        <f>IF(F130+SUM(E$100:E130)=D$93,F130,D$93-SUM(E$100:E130))</f>
        <v>0</v>
      </c>
      <c r="E131" s="510">
        <f>IF(+J97&lt;F130,J97,D131)</f>
        <v>0</v>
      </c>
      <c r="F131" s="511">
        <f t="shared" si="52"/>
        <v>0</v>
      </c>
      <c r="G131" s="511">
        <f t="shared" si="53"/>
        <v>0</v>
      </c>
      <c r="H131" s="645">
        <f t="shared" si="54"/>
        <v>0</v>
      </c>
      <c r="I131" s="573">
        <f t="shared" si="55"/>
        <v>0</v>
      </c>
      <c r="J131" s="505">
        <f t="shared" si="37"/>
        <v>0</v>
      </c>
      <c r="K131" s="505"/>
      <c r="L131" s="513"/>
      <c r="M131" s="505">
        <f t="shared" si="56"/>
        <v>0</v>
      </c>
      <c r="N131" s="513"/>
      <c r="O131" s="505">
        <f t="shared" si="35"/>
        <v>0</v>
      </c>
      <c r="P131" s="505">
        <f t="shared" si="36"/>
        <v>0</v>
      </c>
      <c r="Q131" s="244"/>
      <c r="R131" s="244"/>
      <c r="S131" s="244"/>
      <c r="T131" s="244"/>
      <c r="U131" s="244"/>
    </row>
    <row r="132" spans="2:21" ht="12.5">
      <c r="B132" s="145" t="str">
        <f t="shared" ref="B132:B155" si="57">IF(D132=F131,"","IU")</f>
        <v/>
      </c>
      <c r="C132" s="496">
        <f>IF(D94="","-",+C131+1)</f>
        <v>2045</v>
      </c>
      <c r="D132" s="350">
        <f>IF(F131+SUM(E$100:E131)=D$93,F131,D$93-SUM(E$100:E131))</f>
        <v>0</v>
      </c>
      <c r="E132" s="510">
        <f>IF(+J97&lt;F131,J97,D132)</f>
        <v>0</v>
      </c>
      <c r="F132" s="511">
        <f t="shared" si="52"/>
        <v>0</v>
      </c>
      <c r="G132" s="511">
        <f t="shared" ref="G132:G155" si="58">+(F132+D132)/2</f>
        <v>0</v>
      </c>
      <c r="H132" s="645">
        <f t="shared" si="54"/>
        <v>0</v>
      </c>
      <c r="I132" s="573">
        <f t="shared" ref="I132:I155" si="59">+J$96*G132+E132</f>
        <v>0</v>
      </c>
      <c r="J132" s="505">
        <f t="shared" ref="J132:J155" si="60">+I132-H132</f>
        <v>0</v>
      </c>
      <c r="K132" s="505"/>
      <c r="L132" s="513"/>
      <c r="M132" s="505">
        <f t="shared" ref="M132:M155" si="61">IF(L132&lt;&gt;0,+H132-L132,0)</f>
        <v>0</v>
      </c>
      <c r="N132" s="513"/>
      <c r="O132" s="505">
        <f t="shared" ref="O132:O155" si="62">IF(N132&lt;&gt;0,+I132-N132,0)</f>
        <v>0</v>
      </c>
      <c r="P132" s="505">
        <f t="shared" ref="P132:P155" si="63">+O132-M132</f>
        <v>0</v>
      </c>
      <c r="Q132" s="244"/>
      <c r="R132" s="244"/>
      <c r="S132" s="244"/>
      <c r="T132" s="244"/>
      <c r="U132" s="244"/>
    </row>
    <row r="133" spans="2:21" ht="12.5">
      <c r="B133" s="145" t="str">
        <f t="shared" si="57"/>
        <v/>
      </c>
      <c r="C133" s="496">
        <f>IF(D94="","-",+C132+1)</f>
        <v>2046</v>
      </c>
      <c r="D133" s="350">
        <f>IF(F132+SUM(E$100:E132)=D$93,F132,D$93-SUM(E$100:E132))</f>
        <v>0</v>
      </c>
      <c r="E133" s="510">
        <f>IF(+J97&lt;F132,J97,D133)</f>
        <v>0</v>
      </c>
      <c r="F133" s="511">
        <f t="shared" ref="F133:F155" si="64">+D133-E133</f>
        <v>0</v>
      </c>
      <c r="G133" s="511">
        <f t="shared" si="58"/>
        <v>0</v>
      </c>
      <c r="H133" s="645">
        <f t="shared" si="54"/>
        <v>0</v>
      </c>
      <c r="I133" s="573">
        <f t="shared" si="59"/>
        <v>0</v>
      </c>
      <c r="J133" s="505">
        <f t="shared" si="60"/>
        <v>0</v>
      </c>
      <c r="K133" s="505"/>
      <c r="L133" s="513"/>
      <c r="M133" s="505">
        <f t="shared" si="61"/>
        <v>0</v>
      </c>
      <c r="N133" s="513"/>
      <c r="O133" s="505">
        <f t="shared" si="62"/>
        <v>0</v>
      </c>
      <c r="P133" s="505">
        <f t="shared" si="63"/>
        <v>0</v>
      </c>
      <c r="Q133" s="244"/>
      <c r="R133" s="244"/>
      <c r="S133" s="244"/>
      <c r="T133" s="244"/>
      <c r="U133" s="244"/>
    </row>
    <row r="134" spans="2:21" ht="12.5">
      <c r="B134" s="145" t="str">
        <f t="shared" si="57"/>
        <v/>
      </c>
      <c r="C134" s="496">
        <f>IF(D94="","-",+C133+1)</f>
        <v>2047</v>
      </c>
      <c r="D134" s="350">
        <f>IF(F133+SUM(E$100:E133)=D$93,F133,D$93-SUM(E$100:E133))</f>
        <v>0</v>
      </c>
      <c r="E134" s="510">
        <f>IF(+J97&lt;F133,J97,D134)</f>
        <v>0</v>
      </c>
      <c r="F134" s="511">
        <f t="shared" si="64"/>
        <v>0</v>
      </c>
      <c r="G134" s="511">
        <f t="shared" si="58"/>
        <v>0</v>
      </c>
      <c r="H134" s="645">
        <f t="shared" si="54"/>
        <v>0</v>
      </c>
      <c r="I134" s="573">
        <f t="shared" si="59"/>
        <v>0</v>
      </c>
      <c r="J134" s="505">
        <f t="shared" si="60"/>
        <v>0</v>
      </c>
      <c r="K134" s="505"/>
      <c r="L134" s="513"/>
      <c r="M134" s="505">
        <f t="shared" si="61"/>
        <v>0</v>
      </c>
      <c r="N134" s="513"/>
      <c r="O134" s="505">
        <f t="shared" si="62"/>
        <v>0</v>
      </c>
      <c r="P134" s="505">
        <f t="shared" si="63"/>
        <v>0</v>
      </c>
      <c r="Q134" s="244"/>
      <c r="R134" s="244"/>
      <c r="S134" s="244"/>
      <c r="T134" s="244"/>
      <c r="U134" s="244"/>
    </row>
    <row r="135" spans="2:21" ht="12.5">
      <c r="B135" s="145" t="str">
        <f t="shared" si="57"/>
        <v/>
      </c>
      <c r="C135" s="496">
        <f>IF(D94="","-",+C134+1)</f>
        <v>2048</v>
      </c>
      <c r="D135" s="350">
        <f>IF(F134+SUM(E$100:E134)=D$93,F134,D$93-SUM(E$100:E134))</f>
        <v>0</v>
      </c>
      <c r="E135" s="510">
        <f>IF(+J97&lt;F134,J97,D135)</f>
        <v>0</v>
      </c>
      <c r="F135" s="511">
        <f t="shared" si="64"/>
        <v>0</v>
      </c>
      <c r="G135" s="511">
        <f t="shared" si="58"/>
        <v>0</v>
      </c>
      <c r="H135" s="645">
        <f t="shared" si="54"/>
        <v>0</v>
      </c>
      <c r="I135" s="573">
        <f t="shared" si="59"/>
        <v>0</v>
      </c>
      <c r="J135" s="505">
        <f t="shared" si="60"/>
        <v>0</v>
      </c>
      <c r="K135" s="505"/>
      <c r="L135" s="513"/>
      <c r="M135" s="505">
        <f t="shared" si="61"/>
        <v>0</v>
      </c>
      <c r="N135" s="513"/>
      <c r="O135" s="505">
        <f t="shared" si="62"/>
        <v>0</v>
      </c>
      <c r="P135" s="505">
        <f t="shared" si="63"/>
        <v>0</v>
      </c>
      <c r="Q135" s="244"/>
      <c r="R135" s="244"/>
      <c r="S135" s="244"/>
      <c r="T135" s="244"/>
      <c r="U135" s="244"/>
    </row>
    <row r="136" spans="2:21" ht="12.5">
      <c r="B136" s="145" t="str">
        <f t="shared" si="57"/>
        <v/>
      </c>
      <c r="C136" s="496">
        <f>IF(D94="","-",+C135+1)</f>
        <v>2049</v>
      </c>
      <c r="D136" s="350">
        <f>IF(F135+SUM(E$100:E135)=D$93,F135,D$93-SUM(E$100:E135))</f>
        <v>0</v>
      </c>
      <c r="E136" s="510">
        <f>IF(+J97&lt;F135,J97,D136)</f>
        <v>0</v>
      </c>
      <c r="F136" s="511">
        <f t="shared" si="64"/>
        <v>0</v>
      </c>
      <c r="G136" s="511">
        <f t="shared" si="58"/>
        <v>0</v>
      </c>
      <c r="H136" s="645">
        <f t="shared" si="54"/>
        <v>0</v>
      </c>
      <c r="I136" s="573">
        <f t="shared" si="59"/>
        <v>0</v>
      </c>
      <c r="J136" s="505">
        <f t="shared" si="60"/>
        <v>0</v>
      </c>
      <c r="K136" s="505"/>
      <c r="L136" s="513"/>
      <c r="M136" s="505">
        <f t="shared" si="61"/>
        <v>0</v>
      </c>
      <c r="N136" s="513"/>
      <c r="O136" s="505">
        <f t="shared" si="62"/>
        <v>0</v>
      </c>
      <c r="P136" s="505">
        <f t="shared" si="63"/>
        <v>0</v>
      </c>
      <c r="Q136" s="244"/>
      <c r="R136" s="244"/>
      <c r="S136" s="244"/>
      <c r="T136" s="244"/>
      <c r="U136" s="244"/>
    </row>
    <row r="137" spans="2:21" ht="12.5">
      <c r="B137" s="145" t="str">
        <f t="shared" si="57"/>
        <v/>
      </c>
      <c r="C137" s="496">
        <f>IF(D94="","-",+C136+1)</f>
        <v>2050</v>
      </c>
      <c r="D137" s="350">
        <f>IF(F136+SUM(E$100:E136)=D$93,F136,D$93-SUM(E$100:E136))</f>
        <v>0</v>
      </c>
      <c r="E137" s="510">
        <f>IF(+J97&lt;F136,J97,D137)</f>
        <v>0</v>
      </c>
      <c r="F137" s="511">
        <f t="shared" si="64"/>
        <v>0</v>
      </c>
      <c r="G137" s="511">
        <f t="shared" si="58"/>
        <v>0</v>
      </c>
      <c r="H137" s="645">
        <f t="shared" si="54"/>
        <v>0</v>
      </c>
      <c r="I137" s="573">
        <f t="shared" si="59"/>
        <v>0</v>
      </c>
      <c r="J137" s="505">
        <f t="shared" si="60"/>
        <v>0</v>
      </c>
      <c r="K137" s="505"/>
      <c r="L137" s="513"/>
      <c r="M137" s="505">
        <f t="shared" si="61"/>
        <v>0</v>
      </c>
      <c r="N137" s="513"/>
      <c r="O137" s="505">
        <f t="shared" si="62"/>
        <v>0</v>
      </c>
      <c r="P137" s="505">
        <f t="shared" si="63"/>
        <v>0</v>
      </c>
      <c r="Q137" s="244"/>
      <c r="R137" s="244"/>
      <c r="S137" s="244"/>
      <c r="T137" s="244"/>
      <c r="U137" s="244"/>
    </row>
    <row r="138" spans="2:21" ht="12.5">
      <c r="B138" s="145" t="str">
        <f t="shared" si="57"/>
        <v/>
      </c>
      <c r="C138" s="496">
        <f>IF(D94="","-",+C137+1)</f>
        <v>2051</v>
      </c>
      <c r="D138" s="350">
        <f>IF(F137+SUM(E$100:E137)=D$93,F137,D$93-SUM(E$100:E137))</f>
        <v>0</v>
      </c>
      <c r="E138" s="510">
        <f>IF(+J97&lt;F137,J97,D138)</f>
        <v>0</v>
      </c>
      <c r="F138" s="511">
        <f t="shared" si="64"/>
        <v>0</v>
      </c>
      <c r="G138" s="511">
        <f t="shared" si="58"/>
        <v>0</v>
      </c>
      <c r="H138" s="645">
        <f t="shared" si="54"/>
        <v>0</v>
      </c>
      <c r="I138" s="573">
        <f t="shared" si="59"/>
        <v>0</v>
      </c>
      <c r="J138" s="505">
        <f t="shared" si="60"/>
        <v>0</v>
      </c>
      <c r="K138" s="505"/>
      <c r="L138" s="513"/>
      <c r="M138" s="505">
        <f t="shared" si="61"/>
        <v>0</v>
      </c>
      <c r="N138" s="513"/>
      <c r="O138" s="505">
        <f t="shared" si="62"/>
        <v>0</v>
      </c>
      <c r="P138" s="505">
        <f t="shared" si="63"/>
        <v>0</v>
      </c>
      <c r="Q138" s="244"/>
      <c r="R138" s="244"/>
      <c r="S138" s="244"/>
      <c r="T138" s="244"/>
      <c r="U138" s="244"/>
    </row>
    <row r="139" spans="2:21" ht="12.5">
      <c r="B139" s="145" t="str">
        <f t="shared" si="57"/>
        <v/>
      </c>
      <c r="C139" s="496">
        <f>IF(D94="","-",+C138+1)</f>
        <v>2052</v>
      </c>
      <c r="D139" s="350">
        <f>IF(F138+SUM(E$100:E138)=D$93,F138,D$93-SUM(E$100:E138))</f>
        <v>0</v>
      </c>
      <c r="E139" s="510">
        <f>IF(+J97&lt;F138,J97,D139)</f>
        <v>0</v>
      </c>
      <c r="F139" s="511">
        <f t="shared" si="64"/>
        <v>0</v>
      </c>
      <c r="G139" s="511">
        <f t="shared" si="58"/>
        <v>0</v>
      </c>
      <c r="H139" s="645">
        <f t="shared" si="54"/>
        <v>0</v>
      </c>
      <c r="I139" s="573">
        <f t="shared" si="59"/>
        <v>0</v>
      </c>
      <c r="J139" s="505">
        <f t="shared" si="60"/>
        <v>0</v>
      </c>
      <c r="K139" s="505"/>
      <c r="L139" s="513"/>
      <c r="M139" s="505">
        <f t="shared" si="61"/>
        <v>0</v>
      </c>
      <c r="N139" s="513"/>
      <c r="O139" s="505">
        <f t="shared" si="62"/>
        <v>0</v>
      </c>
      <c r="P139" s="505">
        <f t="shared" si="63"/>
        <v>0</v>
      </c>
      <c r="Q139" s="244"/>
      <c r="R139" s="244"/>
      <c r="S139" s="244"/>
      <c r="T139" s="244"/>
      <c r="U139" s="244"/>
    </row>
    <row r="140" spans="2:21" ht="12.5">
      <c r="B140" s="145" t="str">
        <f t="shared" si="57"/>
        <v/>
      </c>
      <c r="C140" s="496">
        <f>IF(D94="","-",+C139+1)</f>
        <v>2053</v>
      </c>
      <c r="D140" s="350">
        <f>IF(F139+SUM(E$100:E139)=D$93,F139,D$93-SUM(E$100:E139))</f>
        <v>0</v>
      </c>
      <c r="E140" s="510">
        <f>IF(+J97&lt;F139,J97,D140)</f>
        <v>0</v>
      </c>
      <c r="F140" s="511">
        <f t="shared" si="64"/>
        <v>0</v>
      </c>
      <c r="G140" s="511">
        <f t="shared" si="58"/>
        <v>0</v>
      </c>
      <c r="H140" s="645">
        <f t="shared" si="54"/>
        <v>0</v>
      </c>
      <c r="I140" s="573">
        <f t="shared" si="59"/>
        <v>0</v>
      </c>
      <c r="J140" s="505">
        <f t="shared" si="60"/>
        <v>0</v>
      </c>
      <c r="K140" s="505"/>
      <c r="L140" s="513"/>
      <c r="M140" s="505">
        <f t="shared" si="61"/>
        <v>0</v>
      </c>
      <c r="N140" s="513"/>
      <c r="O140" s="505">
        <f t="shared" si="62"/>
        <v>0</v>
      </c>
      <c r="P140" s="505">
        <f t="shared" si="63"/>
        <v>0</v>
      </c>
      <c r="Q140" s="244"/>
      <c r="R140" s="244"/>
      <c r="S140" s="244"/>
      <c r="T140" s="244"/>
      <c r="U140" s="244"/>
    </row>
    <row r="141" spans="2:21" ht="12.5">
      <c r="B141" s="145" t="str">
        <f t="shared" si="57"/>
        <v/>
      </c>
      <c r="C141" s="496">
        <f>IF(D94="","-",+C140+1)</f>
        <v>2054</v>
      </c>
      <c r="D141" s="350">
        <f>IF(F140+SUM(E$100:E140)=D$93,F140,D$93-SUM(E$100:E140))</f>
        <v>0</v>
      </c>
      <c r="E141" s="510">
        <f>IF(+J97&lt;F140,J97,D141)</f>
        <v>0</v>
      </c>
      <c r="F141" s="511">
        <f t="shared" si="64"/>
        <v>0</v>
      </c>
      <c r="G141" s="511">
        <f t="shared" si="58"/>
        <v>0</v>
      </c>
      <c r="H141" s="645">
        <f t="shared" si="54"/>
        <v>0</v>
      </c>
      <c r="I141" s="573">
        <f t="shared" si="59"/>
        <v>0</v>
      </c>
      <c r="J141" s="505">
        <f t="shared" si="60"/>
        <v>0</v>
      </c>
      <c r="K141" s="505"/>
      <c r="L141" s="513"/>
      <c r="M141" s="505">
        <f t="shared" si="61"/>
        <v>0</v>
      </c>
      <c r="N141" s="513"/>
      <c r="O141" s="505">
        <f t="shared" si="62"/>
        <v>0</v>
      </c>
      <c r="P141" s="505">
        <f t="shared" si="63"/>
        <v>0</v>
      </c>
      <c r="Q141" s="244"/>
      <c r="R141" s="244"/>
      <c r="S141" s="244"/>
      <c r="T141" s="244"/>
      <c r="U141" s="244"/>
    </row>
    <row r="142" spans="2:21" ht="12.5">
      <c r="B142" s="145" t="str">
        <f t="shared" si="57"/>
        <v/>
      </c>
      <c r="C142" s="496">
        <f>IF(D94="","-",+C141+1)</f>
        <v>2055</v>
      </c>
      <c r="D142" s="350">
        <f>IF(F141+SUM(E$100:E141)=D$93,F141,D$93-SUM(E$100:E141))</f>
        <v>0</v>
      </c>
      <c r="E142" s="510">
        <f>IF(+J97&lt;F141,J97,D142)</f>
        <v>0</v>
      </c>
      <c r="F142" s="511">
        <f t="shared" si="64"/>
        <v>0</v>
      </c>
      <c r="G142" s="511">
        <f t="shared" si="58"/>
        <v>0</v>
      </c>
      <c r="H142" s="645">
        <f t="shared" si="54"/>
        <v>0</v>
      </c>
      <c r="I142" s="573">
        <f t="shared" si="59"/>
        <v>0</v>
      </c>
      <c r="J142" s="505">
        <f t="shared" si="60"/>
        <v>0</v>
      </c>
      <c r="K142" s="505"/>
      <c r="L142" s="513"/>
      <c r="M142" s="505">
        <f t="shared" si="61"/>
        <v>0</v>
      </c>
      <c r="N142" s="513"/>
      <c r="O142" s="505">
        <f t="shared" si="62"/>
        <v>0</v>
      </c>
      <c r="P142" s="505">
        <f t="shared" si="63"/>
        <v>0</v>
      </c>
      <c r="Q142" s="244"/>
      <c r="R142" s="244"/>
      <c r="S142" s="244"/>
      <c r="T142" s="244"/>
      <c r="U142" s="244"/>
    </row>
    <row r="143" spans="2:21" ht="12.5">
      <c r="B143" s="145" t="str">
        <f t="shared" si="57"/>
        <v/>
      </c>
      <c r="C143" s="496">
        <f>IF(D94="","-",+C142+1)</f>
        <v>2056</v>
      </c>
      <c r="D143" s="350">
        <f>IF(F142+SUM(E$100:E142)=D$93,F142,D$93-SUM(E$100:E142))</f>
        <v>0</v>
      </c>
      <c r="E143" s="510">
        <f>IF(+J97&lt;F142,J97,D143)</f>
        <v>0</v>
      </c>
      <c r="F143" s="511">
        <f t="shared" si="64"/>
        <v>0</v>
      </c>
      <c r="G143" s="511">
        <f t="shared" si="58"/>
        <v>0</v>
      </c>
      <c r="H143" s="645">
        <f t="shared" si="54"/>
        <v>0</v>
      </c>
      <c r="I143" s="573">
        <f t="shared" si="59"/>
        <v>0</v>
      </c>
      <c r="J143" s="505">
        <f t="shared" si="60"/>
        <v>0</v>
      </c>
      <c r="K143" s="505"/>
      <c r="L143" s="513"/>
      <c r="M143" s="505">
        <f t="shared" si="61"/>
        <v>0</v>
      </c>
      <c r="N143" s="513"/>
      <c r="O143" s="505">
        <f t="shared" si="62"/>
        <v>0</v>
      </c>
      <c r="P143" s="505">
        <f t="shared" si="63"/>
        <v>0</v>
      </c>
      <c r="Q143" s="244"/>
      <c r="R143" s="244"/>
      <c r="S143" s="244"/>
      <c r="T143" s="244"/>
      <c r="U143" s="244"/>
    </row>
    <row r="144" spans="2:21" ht="12.5">
      <c r="B144" s="145" t="str">
        <f t="shared" si="57"/>
        <v/>
      </c>
      <c r="C144" s="496">
        <f>IF(D94="","-",+C143+1)</f>
        <v>2057</v>
      </c>
      <c r="D144" s="350">
        <f>IF(F143+SUM(E$100:E143)=D$93,F143,D$93-SUM(E$100:E143))</f>
        <v>0</v>
      </c>
      <c r="E144" s="510">
        <f>IF(+J97&lt;F143,J97,D144)</f>
        <v>0</v>
      </c>
      <c r="F144" s="511">
        <f t="shared" si="64"/>
        <v>0</v>
      </c>
      <c r="G144" s="511">
        <f t="shared" si="58"/>
        <v>0</v>
      </c>
      <c r="H144" s="645">
        <f t="shared" si="54"/>
        <v>0</v>
      </c>
      <c r="I144" s="573">
        <f t="shared" si="59"/>
        <v>0</v>
      </c>
      <c r="J144" s="505">
        <f t="shared" si="60"/>
        <v>0</v>
      </c>
      <c r="K144" s="505"/>
      <c r="L144" s="513"/>
      <c r="M144" s="505">
        <f t="shared" si="61"/>
        <v>0</v>
      </c>
      <c r="N144" s="513"/>
      <c r="O144" s="505">
        <f t="shared" si="62"/>
        <v>0</v>
      </c>
      <c r="P144" s="505">
        <f t="shared" si="63"/>
        <v>0</v>
      </c>
      <c r="Q144" s="244"/>
      <c r="R144" s="244"/>
      <c r="S144" s="244"/>
      <c r="T144" s="244"/>
      <c r="U144" s="244"/>
    </row>
    <row r="145" spans="2:21" ht="12.5">
      <c r="B145" s="145" t="str">
        <f t="shared" si="57"/>
        <v/>
      </c>
      <c r="C145" s="496">
        <f>IF(D94="","-",+C144+1)</f>
        <v>2058</v>
      </c>
      <c r="D145" s="350">
        <f>IF(F144+SUM(E$100:E144)=D$93,F144,D$93-SUM(E$100:E144))</f>
        <v>0</v>
      </c>
      <c r="E145" s="510">
        <f>IF(+J97&lt;F144,J97,D145)</f>
        <v>0</v>
      </c>
      <c r="F145" s="511">
        <f t="shared" si="64"/>
        <v>0</v>
      </c>
      <c r="G145" s="511">
        <f t="shared" si="58"/>
        <v>0</v>
      </c>
      <c r="H145" s="645">
        <f t="shared" si="54"/>
        <v>0</v>
      </c>
      <c r="I145" s="573">
        <f t="shared" si="59"/>
        <v>0</v>
      </c>
      <c r="J145" s="505">
        <f t="shared" si="60"/>
        <v>0</v>
      </c>
      <c r="K145" s="505"/>
      <c r="L145" s="513"/>
      <c r="M145" s="505">
        <f t="shared" si="61"/>
        <v>0</v>
      </c>
      <c r="N145" s="513"/>
      <c r="O145" s="505">
        <f t="shared" si="62"/>
        <v>0</v>
      </c>
      <c r="P145" s="505">
        <f t="shared" si="63"/>
        <v>0</v>
      </c>
      <c r="Q145" s="244"/>
      <c r="R145" s="244"/>
      <c r="S145" s="244"/>
      <c r="T145" s="244"/>
      <c r="U145" s="244"/>
    </row>
    <row r="146" spans="2:21" ht="12.5">
      <c r="B146" s="145" t="str">
        <f t="shared" si="57"/>
        <v/>
      </c>
      <c r="C146" s="496">
        <f>IF(D94="","-",+C145+1)</f>
        <v>2059</v>
      </c>
      <c r="D146" s="350">
        <f>IF(F145+SUM(E$100:E145)=D$93,F145,D$93-SUM(E$100:E145))</f>
        <v>0</v>
      </c>
      <c r="E146" s="510">
        <f>IF(+J97&lt;F145,J97,D146)</f>
        <v>0</v>
      </c>
      <c r="F146" s="511">
        <f t="shared" si="64"/>
        <v>0</v>
      </c>
      <c r="G146" s="511">
        <f t="shared" si="58"/>
        <v>0</v>
      </c>
      <c r="H146" s="645">
        <f t="shared" si="54"/>
        <v>0</v>
      </c>
      <c r="I146" s="573">
        <f t="shared" si="59"/>
        <v>0</v>
      </c>
      <c r="J146" s="505">
        <f t="shared" si="60"/>
        <v>0</v>
      </c>
      <c r="K146" s="505"/>
      <c r="L146" s="513"/>
      <c r="M146" s="505">
        <f t="shared" si="61"/>
        <v>0</v>
      </c>
      <c r="N146" s="513"/>
      <c r="O146" s="505">
        <f t="shared" si="62"/>
        <v>0</v>
      </c>
      <c r="P146" s="505">
        <f t="shared" si="63"/>
        <v>0</v>
      </c>
      <c r="Q146" s="244"/>
      <c r="R146" s="244"/>
      <c r="S146" s="244"/>
      <c r="T146" s="244"/>
      <c r="U146" s="244"/>
    </row>
    <row r="147" spans="2:21" ht="12.5">
      <c r="B147" s="145" t="str">
        <f t="shared" si="57"/>
        <v/>
      </c>
      <c r="C147" s="496">
        <f>IF(D94="","-",+C146+1)</f>
        <v>2060</v>
      </c>
      <c r="D147" s="350">
        <f>IF(F146+SUM(E$100:E146)=D$93,F146,D$93-SUM(E$100:E146))</f>
        <v>0</v>
      </c>
      <c r="E147" s="510">
        <f>IF(+J97&lt;F146,J97,D147)</f>
        <v>0</v>
      </c>
      <c r="F147" s="511">
        <f t="shared" si="64"/>
        <v>0</v>
      </c>
      <c r="G147" s="511">
        <f t="shared" si="58"/>
        <v>0</v>
      </c>
      <c r="H147" s="645">
        <f t="shared" si="54"/>
        <v>0</v>
      </c>
      <c r="I147" s="573">
        <f t="shared" si="59"/>
        <v>0</v>
      </c>
      <c r="J147" s="505">
        <f t="shared" si="60"/>
        <v>0</v>
      </c>
      <c r="K147" s="505"/>
      <c r="L147" s="513"/>
      <c r="M147" s="505">
        <f t="shared" si="61"/>
        <v>0</v>
      </c>
      <c r="N147" s="513"/>
      <c r="O147" s="505">
        <f t="shared" si="62"/>
        <v>0</v>
      </c>
      <c r="P147" s="505">
        <f t="shared" si="63"/>
        <v>0</v>
      </c>
      <c r="Q147" s="244"/>
      <c r="R147" s="244"/>
      <c r="S147" s="244"/>
      <c r="T147" s="244"/>
      <c r="U147" s="244"/>
    </row>
    <row r="148" spans="2:21" ht="12.5">
      <c r="B148" s="145" t="str">
        <f t="shared" si="57"/>
        <v/>
      </c>
      <c r="C148" s="496">
        <f>IF(D94="","-",+C147+1)</f>
        <v>2061</v>
      </c>
      <c r="D148" s="350">
        <f>IF(F147+SUM(E$100:E147)=D$93,F147,D$93-SUM(E$100:E147))</f>
        <v>0</v>
      </c>
      <c r="E148" s="510">
        <f>IF(+J97&lt;F147,J97,D148)</f>
        <v>0</v>
      </c>
      <c r="F148" s="511">
        <f t="shared" si="64"/>
        <v>0</v>
      </c>
      <c r="G148" s="511">
        <f t="shared" si="58"/>
        <v>0</v>
      </c>
      <c r="H148" s="645">
        <f t="shared" si="54"/>
        <v>0</v>
      </c>
      <c r="I148" s="573">
        <f t="shared" si="59"/>
        <v>0</v>
      </c>
      <c r="J148" s="505">
        <f t="shared" si="60"/>
        <v>0</v>
      </c>
      <c r="K148" s="505"/>
      <c r="L148" s="513"/>
      <c r="M148" s="505">
        <f t="shared" si="61"/>
        <v>0</v>
      </c>
      <c r="N148" s="513"/>
      <c r="O148" s="505">
        <f t="shared" si="62"/>
        <v>0</v>
      </c>
      <c r="P148" s="505">
        <f t="shared" si="63"/>
        <v>0</v>
      </c>
      <c r="Q148" s="244"/>
      <c r="R148" s="244"/>
      <c r="S148" s="244"/>
      <c r="T148" s="244"/>
      <c r="U148" s="244"/>
    </row>
    <row r="149" spans="2:21" ht="12.5">
      <c r="B149" s="145" t="str">
        <f t="shared" si="57"/>
        <v/>
      </c>
      <c r="C149" s="496">
        <f>IF(D94="","-",+C148+1)</f>
        <v>2062</v>
      </c>
      <c r="D149" s="350">
        <f>IF(F148+SUM(E$100:E148)=D$93,F148,D$93-SUM(E$100:E148))</f>
        <v>0</v>
      </c>
      <c r="E149" s="510">
        <f>IF(+J97&lt;F148,J97,D149)</f>
        <v>0</v>
      </c>
      <c r="F149" s="511">
        <f t="shared" si="64"/>
        <v>0</v>
      </c>
      <c r="G149" s="511">
        <f t="shared" si="58"/>
        <v>0</v>
      </c>
      <c r="H149" s="645">
        <f t="shared" si="54"/>
        <v>0</v>
      </c>
      <c r="I149" s="573">
        <f t="shared" si="59"/>
        <v>0</v>
      </c>
      <c r="J149" s="505">
        <f t="shared" si="60"/>
        <v>0</v>
      </c>
      <c r="K149" s="505"/>
      <c r="L149" s="513"/>
      <c r="M149" s="505">
        <f t="shared" si="61"/>
        <v>0</v>
      </c>
      <c r="N149" s="513"/>
      <c r="O149" s="505">
        <f t="shared" si="62"/>
        <v>0</v>
      </c>
      <c r="P149" s="505">
        <f t="shared" si="63"/>
        <v>0</v>
      </c>
      <c r="Q149" s="244"/>
      <c r="R149" s="244"/>
      <c r="S149" s="244"/>
      <c r="T149" s="244"/>
      <c r="U149" s="244"/>
    </row>
    <row r="150" spans="2:21" ht="12.5">
      <c r="B150" s="145" t="str">
        <f t="shared" si="57"/>
        <v/>
      </c>
      <c r="C150" s="496">
        <f>IF(D94="","-",+C149+1)</f>
        <v>2063</v>
      </c>
      <c r="D150" s="350">
        <f>IF(F149+SUM(E$100:E149)=D$93,F149,D$93-SUM(E$100:E149))</f>
        <v>0</v>
      </c>
      <c r="E150" s="510">
        <f>IF(+J97&lt;F149,J97,D150)</f>
        <v>0</v>
      </c>
      <c r="F150" s="511">
        <f t="shared" si="64"/>
        <v>0</v>
      </c>
      <c r="G150" s="511">
        <f t="shared" si="58"/>
        <v>0</v>
      </c>
      <c r="H150" s="645">
        <f t="shared" si="54"/>
        <v>0</v>
      </c>
      <c r="I150" s="573">
        <f t="shared" si="59"/>
        <v>0</v>
      </c>
      <c r="J150" s="505">
        <f t="shared" si="60"/>
        <v>0</v>
      </c>
      <c r="K150" s="505"/>
      <c r="L150" s="513"/>
      <c r="M150" s="505">
        <f t="shared" si="61"/>
        <v>0</v>
      </c>
      <c r="N150" s="513"/>
      <c r="O150" s="505">
        <f t="shared" si="62"/>
        <v>0</v>
      </c>
      <c r="P150" s="505">
        <f t="shared" si="63"/>
        <v>0</v>
      </c>
      <c r="Q150" s="244"/>
      <c r="R150" s="244"/>
      <c r="S150" s="244"/>
      <c r="T150" s="244"/>
      <c r="U150" s="244"/>
    </row>
    <row r="151" spans="2:21" ht="12.5">
      <c r="B151" s="145" t="str">
        <f t="shared" si="57"/>
        <v/>
      </c>
      <c r="C151" s="496">
        <f>IF(D94="","-",+C150+1)</f>
        <v>2064</v>
      </c>
      <c r="D151" s="350">
        <f>IF(F150+SUM(E$100:E150)=D$93,F150,D$93-SUM(E$100:E150))</f>
        <v>0</v>
      </c>
      <c r="E151" s="510">
        <f>IF(+J97&lt;F150,J97,D151)</f>
        <v>0</v>
      </c>
      <c r="F151" s="511">
        <f t="shared" si="64"/>
        <v>0</v>
      </c>
      <c r="G151" s="511">
        <f t="shared" si="58"/>
        <v>0</v>
      </c>
      <c r="H151" s="645">
        <f t="shared" si="54"/>
        <v>0</v>
      </c>
      <c r="I151" s="573">
        <f t="shared" si="59"/>
        <v>0</v>
      </c>
      <c r="J151" s="505">
        <f t="shared" si="60"/>
        <v>0</v>
      </c>
      <c r="K151" s="505"/>
      <c r="L151" s="513"/>
      <c r="M151" s="505">
        <f t="shared" si="61"/>
        <v>0</v>
      </c>
      <c r="N151" s="513"/>
      <c r="O151" s="505">
        <f t="shared" si="62"/>
        <v>0</v>
      </c>
      <c r="P151" s="505">
        <f t="shared" si="63"/>
        <v>0</v>
      </c>
      <c r="Q151" s="244"/>
      <c r="R151" s="244"/>
      <c r="S151" s="244"/>
      <c r="T151" s="244"/>
      <c r="U151" s="244"/>
    </row>
    <row r="152" spans="2:21" ht="12.5">
      <c r="B152" s="145" t="str">
        <f t="shared" si="57"/>
        <v/>
      </c>
      <c r="C152" s="496">
        <f>IF(D94="","-",+C151+1)</f>
        <v>2065</v>
      </c>
      <c r="D152" s="350">
        <f>IF(F151+SUM(E$100:E151)=D$93,F151,D$93-SUM(E$100:E151))</f>
        <v>0</v>
      </c>
      <c r="E152" s="510">
        <f>IF(+J97&lt;F151,J97,D152)</f>
        <v>0</v>
      </c>
      <c r="F152" s="511">
        <f t="shared" si="64"/>
        <v>0</v>
      </c>
      <c r="G152" s="511">
        <f t="shared" si="58"/>
        <v>0</v>
      </c>
      <c r="H152" s="645">
        <f t="shared" si="54"/>
        <v>0</v>
      </c>
      <c r="I152" s="573">
        <f t="shared" si="59"/>
        <v>0</v>
      </c>
      <c r="J152" s="505">
        <f t="shared" si="60"/>
        <v>0</v>
      </c>
      <c r="K152" s="505"/>
      <c r="L152" s="513"/>
      <c r="M152" s="505">
        <f t="shared" si="61"/>
        <v>0</v>
      </c>
      <c r="N152" s="513"/>
      <c r="O152" s="505">
        <f t="shared" si="62"/>
        <v>0</v>
      </c>
      <c r="P152" s="505">
        <f t="shared" si="63"/>
        <v>0</v>
      </c>
      <c r="Q152" s="244"/>
      <c r="R152" s="244"/>
      <c r="S152" s="244"/>
      <c r="T152" s="244"/>
      <c r="U152" s="244"/>
    </row>
    <row r="153" spans="2:21" ht="12.5">
      <c r="B153" s="145" t="str">
        <f t="shared" si="57"/>
        <v/>
      </c>
      <c r="C153" s="496">
        <f>IF(D94="","-",+C152+1)</f>
        <v>2066</v>
      </c>
      <c r="D153" s="350">
        <f>IF(F152+SUM(E$100:E152)=D$93,F152,D$93-SUM(E$100:E152))</f>
        <v>0</v>
      </c>
      <c r="E153" s="510">
        <f>IF(+J97&lt;F152,J97,D153)</f>
        <v>0</v>
      </c>
      <c r="F153" s="511">
        <f t="shared" si="64"/>
        <v>0</v>
      </c>
      <c r="G153" s="511">
        <f t="shared" si="58"/>
        <v>0</v>
      </c>
      <c r="H153" s="645">
        <f t="shared" si="54"/>
        <v>0</v>
      </c>
      <c r="I153" s="573">
        <f t="shared" si="59"/>
        <v>0</v>
      </c>
      <c r="J153" s="505">
        <f t="shared" si="60"/>
        <v>0</v>
      </c>
      <c r="K153" s="505"/>
      <c r="L153" s="513"/>
      <c r="M153" s="505">
        <f t="shared" si="61"/>
        <v>0</v>
      </c>
      <c r="N153" s="513"/>
      <c r="O153" s="505">
        <f t="shared" si="62"/>
        <v>0</v>
      </c>
      <c r="P153" s="505">
        <f t="shared" si="63"/>
        <v>0</v>
      </c>
      <c r="Q153" s="244"/>
      <c r="R153" s="244"/>
      <c r="S153" s="244"/>
      <c r="T153" s="244"/>
      <c r="U153" s="244"/>
    </row>
    <row r="154" spans="2:21" ht="12.5">
      <c r="B154" s="145" t="str">
        <f t="shared" si="57"/>
        <v/>
      </c>
      <c r="C154" s="496">
        <f>IF(D94="","-",+C153+1)</f>
        <v>2067</v>
      </c>
      <c r="D154" s="350">
        <f>IF(F153+SUM(E$100:E153)=D$93,F153,D$93-SUM(E$100:E153))</f>
        <v>0</v>
      </c>
      <c r="E154" s="510">
        <f>IF(+J97&lt;F153,J97,D154)</f>
        <v>0</v>
      </c>
      <c r="F154" s="511">
        <f t="shared" si="64"/>
        <v>0</v>
      </c>
      <c r="G154" s="511">
        <f t="shared" si="58"/>
        <v>0</v>
      </c>
      <c r="H154" s="645">
        <f t="shared" si="54"/>
        <v>0</v>
      </c>
      <c r="I154" s="573">
        <f t="shared" si="59"/>
        <v>0</v>
      </c>
      <c r="J154" s="505">
        <f t="shared" si="60"/>
        <v>0</v>
      </c>
      <c r="K154" s="505"/>
      <c r="L154" s="513"/>
      <c r="M154" s="505">
        <f t="shared" si="61"/>
        <v>0</v>
      </c>
      <c r="N154" s="513"/>
      <c r="O154" s="505">
        <f t="shared" si="62"/>
        <v>0</v>
      </c>
      <c r="P154" s="505">
        <f t="shared" si="63"/>
        <v>0</v>
      </c>
      <c r="Q154" s="244"/>
      <c r="R154" s="244"/>
      <c r="S154" s="244"/>
      <c r="T154" s="244"/>
      <c r="U154" s="244"/>
    </row>
    <row r="155" spans="2:21" ht="13" thickBot="1">
      <c r="B155" s="145" t="str">
        <f t="shared" si="57"/>
        <v/>
      </c>
      <c r="C155" s="525">
        <f>IF(D94="","-",+C154+1)</f>
        <v>2068</v>
      </c>
      <c r="D155" s="528">
        <f>IF(F154+SUM(E$100:E154)=D$93,F154,D$93-SUM(E$100:E154))</f>
        <v>0</v>
      </c>
      <c r="E155" s="527">
        <f>IF(+J97&lt;F154,J97,D155)</f>
        <v>0</v>
      </c>
      <c r="F155" s="528">
        <f t="shared" si="64"/>
        <v>0</v>
      </c>
      <c r="G155" s="528">
        <f t="shared" si="58"/>
        <v>0</v>
      </c>
      <c r="H155" s="645">
        <f t="shared" si="54"/>
        <v>0</v>
      </c>
      <c r="I155" s="574">
        <f t="shared" si="59"/>
        <v>0</v>
      </c>
      <c r="J155" s="532">
        <f t="shared" si="60"/>
        <v>0</v>
      </c>
      <c r="K155" s="505"/>
      <c r="L155" s="531"/>
      <c r="M155" s="532">
        <f t="shared" si="61"/>
        <v>0</v>
      </c>
      <c r="N155" s="531"/>
      <c r="O155" s="532">
        <f t="shared" si="62"/>
        <v>0</v>
      </c>
      <c r="P155" s="532">
        <f t="shared" si="63"/>
        <v>0</v>
      </c>
      <c r="Q155" s="244"/>
      <c r="R155" s="244"/>
      <c r="S155" s="244"/>
      <c r="T155" s="244"/>
      <c r="U155" s="244"/>
    </row>
    <row r="156" spans="2:21" ht="12.5">
      <c r="C156" s="350" t="s">
        <v>75</v>
      </c>
      <c r="D156" s="295"/>
      <c r="E156" s="295">
        <f>SUM(E100:E155)</f>
        <v>28914235.999999996</v>
      </c>
      <c r="F156" s="295"/>
      <c r="G156" s="295"/>
      <c r="H156" s="295">
        <f>SUM(H100:H155)</f>
        <v>71439290.441938937</v>
      </c>
      <c r="I156" s="295">
        <f>SUM(I100:I155)</f>
        <v>71439290.441938937</v>
      </c>
      <c r="J156" s="295">
        <f>SUM(J100:J155)</f>
        <v>0</v>
      </c>
      <c r="K156" s="295"/>
      <c r="L156" s="295"/>
      <c r="M156" s="295"/>
      <c r="N156" s="295"/>
      <c r="O156" s="295"/>
      <c r="P156" s="244"/>
      <c r="Q156" s="244"/>
      <c r="R156" s="244"/>
      <c r="S156" s="244"/>
      <c r="T156" s="244"/>
      <c r="U156" s="244"/>
    </row>
    <row r="157" spans="2:21" ht="12.5">
      <c r="D157" s="293"/>
      <c r="E157" s="244"/>
      <c r="F157" s="244"/>
      <c r="G157" s="244"/>
      <c r="H157" s="244"/>
      <c r="I157" s="326"/>
      <c r="J157" s="326"/>
      <c r="K157" s="295"/>
      <c r="L157" s="326"/>
      <c r="M157" s="326"/>
      <c r="N157" s="326"/>
      <c r="O157" s="326"/>
      <c r="P157" s="244"/>
      <c r="Q157" s="244"/>
      <c r="R157" s="244"/>
      <c r="S157" s="244"/>
      <c r="T157" s="244"/>
      <c r="U157" s="244"/>
    </row>
    <row r="158" spans="2:21" ht="12.5">
      <c r="C158" s="575" t="s">
        <v>90</v>
      </c>
      <c r="D158" s="293"/>
      <c r="E158" s="244"/>
      <c r="F158" s="244"/>
      <c r="G158" s="244"/>
      <c r="H158" s="244"/>
      <c r="I158" s="326"/>
      <c r="J158" s="326"/>
      <c r="K158" s="295"/>
      <c r="L158" s="326"/>
      <c r="M158" s="326"/>
      <c r="N158" s="326"/>
      <c r="O158" s="326"/>
      <c r="P158" s="244"/>
      <c r="Q158" s="244"/>
      <c r="R158" s="244"/>
      <c r="S158" s="244"/>
      <c r="T158" s="244"/>
      <c r="U158" s="244"/>
    </row>
    <row r="159" spans="2:21" ht="12.5">
      <c r="D159" s="293"/>
      <c r="E159" s="244"/>
      <c r="F159" s="244"/>
      <c r="G159" s="244"/>
      <c r="H159" s="244"/>
      <c r="I159" s="326"/>
      <c r="J159" s="326"/>
      <c r="K159" s="295"/>
      <c r="L159" s="326"/>
      <c r="M159" s="326"/>
      <c r="N159" s="326"/>
      <c r="O159" s="326"/>
      <c r="P159" s="244"/>
      <c r="Q159" s="244"/>
      <c r="R159" s="244"/>
      <c r="S159" s="244"/>
      <c r="T159" s="244"/>
      <c r="U159" s="244"/>
    </row>
    <row r="160" spans="2:21" ht="13">
      <c r="C160" s="533" t="s">
        <v>96</v>
      </c>
      <c r="D160" s="350"/>
      <c r="E160" s="350"/>
      <c r="F160" s="350"/>
      <c r="G160" s="350"/>
      <c r="H160" s="295"/>
      <c r="I160" s="295"/>
      <c r="J160" s="351"/>
      <c r="K160" s="351"/>
      <c r="L160" s="351"/>
      <c r="M160" s="351"/>
      <c r="N160" s="351"/>
      <c r="O160" s="351"/>
      <c r="P160" s="244"/>
      <c r="Q160" s="244"/>
      <c r="R160" s="244"/>
      <c r="S160" s="244"/>
      <c r="T160" s="244"/>
      <c r="U160" s="244"/>
    </row>
    <row r="161" spans="3:21" ht="13">
      <c r="C161" s="576" t="s">
        <v>76</v>
      </c>
      <c r="D161" s="350"/>
      <c r="E161" s="350"/>
      <c r="F161" s="350"/>
      <c r="G161" s="350"/>
      <c r="H161" s="295"/>
      <c r="I161" s="295"/>
      <c r="J161" s="351"/>
      <c r="K161" s="351"/>
      <c r="L161" s="351"/>
      <c r="M161" s="351"/>
      <c r="N161" s="351"/>
      <c r="O161" s="351"/>
      <c r="P161" s="244"/>
      <c r="Q161" s="244"/>
      <c r="R161" s="244"/>
      <c r="S161" s="244"/>
      <c r="T161" s="244"/>
      <c r="U161" s="244"/>
    </row>
    <row r="162" spans="3:21" ht="13">
      <c r="C162" s="576" t="s">
        <v>77</v>
      </c>
      <c r="D162" s="350"/>
      <c r="E162" s="350"/>
      <c r="F162" s="350"/>
      <c r="G162" s="350"/>
      <c r="H162" s="295"/>
      <c r="I162" s="295"/>
      <c r="J162" s="351"/>
      <c r="K162" s="351"/>
      <c r="L162" s="351"/>
      <c r="M162" s="351"/>
      <c r="N162" s="351"/>
      <c r="O162" s="351"/>
      <c r="P162" s="244"/>
      <c r="Q162" s="244"/>
      <c r="R162" s="244"/>
      <c r="S162" s="244"/>
      <c r="T162" s="244"/>
      <c r="U162" s="244"/>
    </row>
    <row r="163" spans="3:21" ht="17.5">
      <c r="C163" s="576"/>
      <c r="D163" s="350"/>
      <c r="E163" s="350"/>
      <c r="F163" s="350"/>
      <c r="G163" s="350"/>
      <c r="H163" s="295"/>
      <c r="I163" s="295"/>
      <c r="J163" s="351"/>
      <c r="K163" s="351"/>
      <c r="L163" s="351"/>
      <c r="M163" s="351"/>
      <c r="N163" s="351"/>
      <c r="P163" s="584" t="s">
        <v>129</v>
      </c>
      <c r="Q163" s="244"/>
      <c r="R163" s="244"/>
      <c r="S163" s="244"/>
      <c r="T163" s="244"/>
      <c r="U163" s="244"/>
    </row>
  </sheetData>
  <phoneticPr fontId="0" type="noConversion"/>
  <conditionalFormatting sqref="C17:C73">
    <cfRule type="cellIs" dxfId="49" priority="1" stopIfTrue="1" operator="equal">
      <formula>$I$10</formula>
    </cfRule>
  </conditionalFormatting>
  <conditionalFormatting sqref="C100:C155">
    <cfRule type="cellIs" dxfId="48" priority="2" stopIfTrue="1" operator="equal">
      <formula>$J$93</formula>
    </cfRule>
  </conditionalFormatting>
  <pageMargins left="0.5" right="0.25" top="1" bottom="0.25" header="0.25" footer="0.5"/>
  <pageSetup scale="47" fitToHeight="0" orientation="landscape" horizontalDpi="1200" verticalDpi="1200" r:id="rId1"/>
  <headerFooter alignWithMargins="0">
    <oddHeader xml:space="preserve">&amp;R&amp;16AEPTCo - SPP Formula Rate
&amp;A TCOS - Worksheets F and G
Section IV -- (BPU Project Tables)
Page: &amp;P of &amp;N
</oddHeader>
    <oddFooter>&amp;L&amp;A</oddFooter>
  </headerFooter>
  <rowBreaks count="1" manualBreakCount="1">
    <brk id="83"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c3MDQwPC9Vc2VyTmFtZT48RGF0ZVRpbWU+My84LzIwMjIgMTozNjowOCBQTTwvRGF0ZVRpbWU+PExhYmVsU3RyaW5nPkFFUCBJbnRlcm5hbDwvTGFiZWxTdHJpbmc+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PC9zaXNsPjxVc2VyTmFtZT5DT1JQXHMxNzcwNDA8L1VzZXJOYW1lPjxEYXRlVGltZT41LzI0LzIwMjIgMzozNDowNSBQTTwvRGF0ZVRpbWU+PExhYmVsU3RyaW5nPkFFUCBJbnRlcm5hbD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FCE95FE1-785C-4575-8E3E-18CE05BD8EF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285AC03-DC4A-44A7-9937-EBEA41D1CC8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OKT.Sch.11.Rates</vt:lpstr>
      <vt:lpstr>OKT.WS.F.BPU.ATRR.Projected</vt:lpstr>
      <vt:lpstr>OKT.WS.G.BPU.ATRR.True-up</vt:lpstr>
      <vt:lpstr>OKT.001</vt:lpstr>
      <vt:lpstr>OKT.002</vt:lpstr>
      <vt:lpstr>OKT.003</vt:lpstr>
      <vt:lpstr>OKT.004</vt:lpstr>
      <vt:lpstr>OKT.005</vt:lpstr>
      <vt:lpstr>OKT.006</vt:lpstr>
      <vt:lpstr>OKT.007</vt:lpstr>
      <vt:lpstr>OKT.008</vt:lpstr>
      <vt:lpstr>OKT.009</vt:lpstr>
      <vt:lpstr>OKT.010</vt:lpstr>
      <vt:lpstr>OKT.011</vt:lpstr>
      <vt:lpstr>OKT.012</vt:lpstr>
      <vt:lpstr>OKT.013</vt:lpstr>
      <vt:lpstr>OKT.014</vt:lpstr>
      <vt:lpstr>OKT.015</vt:lpstr>
      <vt:lpstr>OKT.016</vt:lpstr>
      <vt:lpstr>OKT.017</vt:lpstr>
      <vt:lpstr>OKT.018</vt:lpstr>
      <vt:lpstr>OKT.019</vt:lpstr>
      <vt:lpstr>OKT.020</vt:lpstr>
      <vt:lpstr>OKT.021</vt:lpstr>
      <vt:lpstr>OKT.022</vt:lpstr>
      <vt:lpstr>OKT.023</vt:lpstr>
      <vt:lpstr>OKT.xyz - blank</vt:lpstr>
      <vt:lpstr>OKT.001!Print_Area</vt:lpstr>
      <vt:lpstr>OKT.002!Print_Area</vt:lpstr>
      <vt:lpstr>OKT.003!Print_Area</vt:lpstr>
      <vt:lpstr>OKT.004!Print_Area</vt:lpstr>
      <vt:lpstr>OKT.005!Print_Area</vt:lpstr>
      <vt:lpstr>OKT.006!Print_Area</vt:lpstr>
      <vt:lpstr>OKT.007!Print_Area</vt:lpstr>
      <vt:lpstr>OKT.008!Print_Area</vt:lpstr>
      <vt:lpstr>OKT.009!Print_Area</vt:lpstr>
      <vt:lpstr>OKT.010!Print_Area</vt:lpstr>
      <vt:lpstr>OKT.011!Print_Area</vt:lpstr>
      <vt:lpstr>OKT.012!Print_Area</vt:lpstr>
      <vt:lpstr>OKT.013!Print_Area</vt:lpstr>
      <vt:lpstr>OKT.014!Print_Area</vt:lpstr>
      <vt:lpstr>OKT.015!Print_Area</vt:lpstr>
      <vt:lpstr>OKT.016!Print_Area</vt:lpstr>
      <vt:lpstr>OKT.017!Print_Area</vt:lpstr>
      <vt:lpstr>OKT.Sch.11.Rates!Print_Area</vt:lpstr>
      <vt:lpstr>OKT.WS.F.BPU.ATRR.Projected!Print_Area</vt:lpstr>
      <vt:lpstr>'OKT.WS.G.BPU.ATRR.True-up'!Print_Area</vt:lpstr>
      <vt:lpstr>'OKT.xyz - blank'!Print_Area</vt:lpstr>
      <vt:lpstr>OKT.WS.F.BPU.ATRR.Projected!Print_Titles</vt:lpstr>
      <vt:lpstr>'OKT.WS.G.BPU.ATRR.True-up'!Print_Titles</vt:lpstr>
    </vt:vector>
  </TitlesOfParts>
  <Company>AEP-IT-CPS 4/30/3-(8-835-3050)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R.Pennybaker</dc:creator>
  <cp:keywords/>
  <cp:lastModifiedBy>Allyson L Keaton</cp:lastModifiedBy>
  <cp:lastPrinted>2023-05-23T12:13:03Z</cp:lastPrinted>
  <dcterms:created xsi:type="dcterms:W3CDTF">2009-05-11T14:02:48Z</dcterms:created>
  <dcterms:modified xsi:type="dcterms:W3CDTF">2024-05-24T15:31:49Z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fdf90a27-ae33-44c3-97c2-34c0498a6fd2</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LabelHistoryID">
    <vt:lpwstr>{FCE95FE1-785C-4575-8E3E-18CE05BD8EF1}</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